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435" activeTab="0"/>
  </bookViews>
  <sheets>
    <sheet name="2СП" sheetId="1" r:id="rId1"/>
  </sheets>
  <definedNames>
    <definedName name="_xlnm.Print_Area" localSheetId="0">'2СП'!$A$1:$E$168</definedName>
  </definedNames>
  <calcPr fullCalcOnLoad="1"/>
</workbook>
</file>

<file path=xl/comments1.xml><?xml version="1.0" encoding="utf-8"?>
<comments xmlns="http://schemas.openxmlformats.org/spreadsheetml/2006/main">
  <authors>
    <author>Иллиев</author>
    <author>Kovalenko</author>
  </authors>
  <commentList>
    <comment ref="B7" authorId="0">
      <text>
        <r>
          <rPr>
            <b/>
            <sz val="8"/>
            <rFont val="Tahoma"/>
            <family val="2"/>
          </rPr>
          <t xml:space="preserve">ВНИМАНИЕ!
</t>
        </r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  <comment ref="B164" authorId="1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<sst xmlns="http://schemas.openxmlformats.org/spreadsheetml/2006/main" count="277" uniqueCount="201">
  <si>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</si>
  <si>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</si>
  <si>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</si>
  <si>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</si>
  <si>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</si>
  <si>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</si>
  <si>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</si>
  <si>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</si>
  <si>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</si>
  <si>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 xml:space="preserve">ПЕРВИЧНЫЕ ПРОФСОЮЗНЫЕ ОРГАНИЗАЦИИ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</si>
  <si>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</si>
  <si>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</si>
  <si>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</si>
  <si>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</si>
  <si>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</si>
  <si>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</si>
  <si>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</si>
  <si>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</si>
  <si>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</si>
  <si>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 xml:space="preserve">IV. </t>
  </si>
  <si>
    <t xml:space="preserve">ПРОФСОЮЗНЫЙ  АКТИВ  </t>
  </si>
  <si>
    <t xml:space="preserve">V. </t>
  </si>
  <si>
    <t>в т. ч.:</t>
  </si>
  <si>
    <t>ОБУЧЕНИЕ ПРОФСОЮЗНЫХ КАДРОВ И АКТИВА</t>
  </si>
  <si>
    <t>Председатель</t>
  </si>
  <si>
    <t>Х</t>
  </si>
  <si>
    <t>в них:   - работающих   (без совместителей)</t>
  </si>
  <si>
    <t>в них:  - работающих (без совместителей)</t>
  </si>
  <si>
    <t>в т.ч.: - обучающихся 1 курса</t>
  </si>
  <si>
    <t>в них:   - работающих (без совместителей)</t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</si>
  <si>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</si>
  <si>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</si>
  <si>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</si>
  <si>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</si>
  <si>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</si>
  <si>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</si>
  <si>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</si>
  <si>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</si>
  <si>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Общеобразовательные организации </t>
  </si>
  <si>
    <t xml:space="preserve">Дошкольные образовательные организации 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</si>
  <si>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</si>
  <si>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</si>
  <si>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</si>
  <si>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</si>
  <si>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</si>
  <si>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</si>
  <si>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председатели КРК первичных профсоюзных организаций</t>
  </si>
  <si>
    <t>2.1.2.</t>
  </si>
  <si>
    <t xml:space="preserve">III. 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</si>
  <si>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</si>
  <si>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</si>
  <si>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t>3.1.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</si>
  <si>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</si>
  <si>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</si>
  <si>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</si>
  <si>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</si>
  <si>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</si>
  <si>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>Профсоюзный актив в первичных профсоюзных организациях:</t>
  </si>
  <si>
    <t>(наименование местной организации Профсоюза)</t>
  </si>
  <si>
    <t>1.1.4.</t>
  </si>
  <si>
    <t>в т.ч.:  - организации педагогического образования</t>
  </si>
  <si>
    <t>2.1.8.</t>
  </si>
  <si>
    <t>2.3.1.</t>
  </si>
  <si>
    <t>Профсоюзный актив в местной профсоюзной организации:</t>
  </si>
  <si>
    <t>в) организаций обучающихся</t>
  </si>
  <si>
    <t xml:space="preserve">б) организаций работающих  </t>
  </si>
  <si>
    <t>до 1 января</t>
  </si>
  <si>
    <t>(ФИО)</t>
  </si>
  <si>
    <t>организации Профсоюза</t>
  </si>
  <si>
    <r>
      <t xml:space="preserve">в них: 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</si>
  <si>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t xml:space="preserve">           - профсоюзных групп</t>
  </si>
  <si>
    <t xml:space="preserve">а) объединенных  </t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</si>
  <si>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</si>
  <si>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 - педагогические работники</t>
  </si>
  <si>
    <r>
      <t>в них:</t>
    </r>
    <r>
      <rPr>
        <sz val="8"/>
        <rFont val="Times New Roman"/>
        <family val="1"/>
      </rPr>
      <t xml:space="preserve">    -</t>
    </r>
    <r>
      <rPr>
        <sz val="11"/>
        <rFont val="Times New Roman"/>
        <family val="1"/>
      </rPr>
      <t xml:space="preserve"> членов Профсоюза</t>
    </r>
  </si>
  <si>
    <t>2.4.1.</t>
  </si>
  <si>
    <t xml:space="preserve">2.4.2. </t>
  </si>
  <si>
    <t>4.1.</t>
  </si>
  <si>
    <t>В местной организации</t>
  </si>
  <si>
    <t>В первичных профорганизациях</t>
  </si>
  <si>
    <t>Профсоюзных организаций в других организациях</t>
  </si>
  <si>
    <t>ГОДОВОЙ СТАТИСТИЧЕСКИЙ ОТЧЕТ</t>
  </si>
  <si>
    <t>МЕСТНОЙ  ОРГАНИЗАЦИИ  ПРОФСОЮЗА</t>
  </si>
  <si>
    <r>
      <rPr>
        <b/>
        <sz val="13"/>
        <rFont val="Times New Roman"/>
        <family val="1"/>
      </rPr>
      <t>работающие</t>
    </r>
    <r>
      <rPr>
        <sz val="13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</si>
  <si>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r>
      <rPr>
        <b/>
        <sz val="13"/>
        <rFont val="Times New Roman"/>
        <family val="1"/>
      </rPr>
      <t>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</si>
  <si>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в т.ч.: </t>
  </si>
  <si>
    <t>организации  педагогического образования</t>
  </si>
  <si>
    <t xml:space="preserve">ОБЩЕЕ КОЛ-ВО ПЕРВИЧНЫХ ПРОФСОЮЗНЫХ ОРГАНИЗАЦИЙ 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</si>
  <si>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</si>
  <si>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</si>
  <si>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</si>
  <si>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</si>
  <si>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</si>
  <si>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</si>
  <si>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</si>
  <si>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</si>
  <si>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</si>
  <si>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</si>
  <si>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</si>
  <si>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</si>
  <si>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</si>
  <si>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</si>
  <si>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3.1.2.4.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</si>
  <si>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</si>
  <si>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</si>
  <si>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</si>
  <si>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</si>
  <si>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</si>
  <si>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</si>
  <si>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</si>
  <si>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>4.2.1.</t>
  </si>
  <si>
    <t>4.2.1.1.</t>
  </si>
  <si>
    <t xml:space="preserve">4.2.1.2. </t>
  </si>
  <si>
    <t>4.2.1.3.</t>
  </si>
  <si>
    <t xml:space="preserve"> председатели </t>
  </si>
  <si>
    <r>
      <t xml:space="preserve"> заместители председателей </t>
    </r>
  </si>
  <si>
    <t xml:space="preserve"> члены профсоюзных комитетов  (без строк 3.1.1.1.,3.1.1.2.)</t>
  </si>
  <si>
    <r>
      <t xml:space="preserve"> председатели </t>
    </r>
    <r>
      <rPr>
        <sz val="11"/>
        <rFont val="Times New Roman"/>
        <family val="1"/>
      </rPr>
      <t xml:space="preserve">КРК  </t>
    </r>
  </si>
  <si>
    <t xml:space="preserve"> члены КРК </t>
  </si>
  <si>
    <t xml:space="preserve"> председатели профбюро структурных подразделений</t>
  </si>
  <si>
    <t xml:space="preserve"> профгрупорги</t>
  </si>
  <si>
    <r>
      <t xml:space="preserve"> заместители председателя </t>
    </r>
  </si>
  <si>
    <t xml:space="preserve"> члены комитетов (советов) (без строк 3.1.2.1.,3.1.2.2.)</t>
  </si>
  <si>
    <t xml:space="preserve"> члены пост. комиссий при комитетах (советах) (без строк 3.1.2.1.,3.1.2.2.,3.1.2.3.)</t>
  </si>
  <si>
    <t xml:space="preserve">председатели первичных организаций Профсоюза </t>
  </si>
  <si>
    <r>
      <rPr>
        <b/>
        <sz val="13"/>
        <rFont val="Times New Roman"/>
        <family val="1"/>
      </rPr>
      <t>работающие и обучающиеся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%)</t>
    </r>
  </si>
  <si>
    <t xml:space="preserve"> члены пост. комиссий при профсоюзных комитетах (без  строк 3.1.1.1.,3.1.1.2.,3.1.1.3.)</t>
  </si>
  <si>
    <r>
      <t xml:space="preserve"> члены профбюро </t>
    </r>
    <r>
      <rPr>
        <sz val="11"/>
        <rFont val="Times New Roman"/>
        <family val="1"/>
      </rPr>
      <t>(без строки 3.1.1.7.)</t>
    </r>
  </si>
  <si>
    <t>2.4.3.</t>
  </si>
  <si>
    <t xml:space="preserve">                                  из них: - молодежи до 35 лет</t>
  </si>
  <si>
    <t>в них:   - работающих  (без совместителей)</t>
  </si>
  <si>
    <r>
      <t xml:space="preserve">         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>обучающихся</t>
    </r>
  </si>
  <si>
    <t xml:space="preserve">              в т.ч.:   - педагогических работников</t>
  </si>
  <si>
    <t xml:space="preserve">             в т.ч.: - педагогических работников</t>
  </si>
  <si>
    <t xml:space="preserve">              в т.ч.: - педагогических работников</t>
  </si>
  <si>
    <r>
      <t>в них</t>
    </r>
    <r>
      <rPr>
        <sz val="8"/>
        <rFont val="Times New Roman"/>
        <family val="1"/>
      </rPr>
      <t>:    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>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</si>
  <si>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>членов Профсоюза</t>
    </r>
    <r>
      <rPr>
        <i/>
        <sz val="11"/>
        <rFont val="Times New Roman"/>
        <family val="1"/>
      </rPr>
      <t xml:space="preserve"> (без неработающих пенсионеров) </t>
    </r>
    <r>
      <rPr>
        <sz val="11"/>
        <rFont val="Times New Roman"/>
        <family val="1"/>
      </rPr>
      <t xml:space="preserve"> 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</si>
  <si>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</t>
    </r>
    <r>
      <rPr>
        <i/>
        <sz val="11"/>
        <rFont val="Times New Roman"/>
        <family val="1"/>
      </rPr>
      <t xml:space="preserve"> (без неработающих пенсионеров)</t>
    </r>
    <r>
      <rPr>
        <sz val="11"/>
        <rFont val="Times New Roman"/>
        <family val="1"/>
      </rPr>
      <t xml:space="preserve">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</si>
  <si>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</t>
    </r>
    <r>
      <rPr>
        <i/>
        <sz val="11"/>
        <rFont val="Times New Roman"/>
        <family val="1"/>
      </rPr>
      <t xml:space="preserve">(без неработающих пенсионеров)  </t>
    </r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</si>
  <si>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</si>
  <si>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</si>
  <si>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</si>
  <si>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</si>
  <si>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</si>
  <si>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</si>
  <si>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t xml:space="preserve">ОБЩЕЕ КОЛ-ВО ГОСУДАРСТВЕННЫХ И МУНИЦИП. ОБРАЗОВА- </t>
  </si>
  <si>
    <t xml:space="preserve">ТЕЛЬНЫХ ОРГАНИЗАЦИЙ, НАХОДЯЩИХСЯ  НА ТЕРРИТОРИИ     </t>
  </si>
  <si>
    <r>
      <rPr>
        <b/>
        <u val="single"/>
        <sz val="12"/>
        <rFont val="Times New Roman"/>
        <family val="1"/>
      </rPr>
      <t>ВСЕГО РАБОТАЮЩИХ в орг-ях, в котор. имеются чл. Профсоюза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(без совмест.)</t>
    </r>
  </si>
  <si>
    <r>
      <rPr>
        <b/>
        <u val="single"/>
        <sz val="12"/>
        <rFont val="Times New Roman"/>
        <family val="1"/>
      </rPr>
      <t>2.1.</t>
    </r>
    <r>
      <rPr>
        <b/>
        <sz val="12"/>
        <rFont val="Times New Roman"/>
        <family val="1"/>
      </rPr>
      <t> </t>
    </r>
  </si>
  <si>
    <r>
      <rPr>
        <b/>
        <u val="single"/>
        <sz val="12"/>
        <rFont val="Times New Roman"/>
        <family val="1"/>
      </rPr>
      <t>2.3.</t>
    </r>
    <r>
      <rPr>
        <b/>
        <sz val="12"/>
        <rFont val="Times New Roman"/>
        <family val="1"/>
      </rPr>
      <t xml:space="preserve">  </t>
    </r>
  </si>
  <si>
    <r>
      <rPr>
        <b/>
        <u val="single"/>
        <sz val="12"/>
        <rFont val="Times New Roman"/>
        <family val="1"/>
      </rPr>
      <t>2.4.</t>
    </r>
    <r>
      <rPr>
        <b/>
        <sz val="10"/>
        <rFont val="Times New Roman"/>
        <family val="1"/>
      </rPr>
      <t xml:space="preserve">  </t>
    </r>
  </si>
  <si>
    <t>ОХВАТ ПРОФС. ЧЛЕНСТВОМ ПО КАТЕГОРИЯМ ЧЛ. ПРОФСОЮЗА:</t>
  </si>
  <si>
    <r>
      <rPr>
        <b/>
        <u val="single"/>
        <sz val="12"/>
        <rFont val="Times New Roman"/>
        <family val="1"/>
      </rPr>
      <t>2.5.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</si>
  <si>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2.6.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</si>
  <si>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2.7.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</si>
  <si>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ОБЩЕЕ КОЛ-ВО ПРОФСОЮЗНОГО АКТИВА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(сумма 3.1.1. и 3.1.2.)</t>
    </r>
  </si>
  <si>
    <r>
      <rPr>
        <b/>
        <u val="single"/>
        <sz val="12"/>
        <rFont val="Times New Roman"/>
        <family val="1"/>
      </rPr>
      <t>ОБЩЕЕ КОЛИЧЕСТВО ШТАТНЫХ РАБОТНИКОВ</t>
    </r>
    <r>
      <rPr>
        <sz val="10"/>
        <rFont val="Times New Roman"/>
        <family val="1"/>
      </rPr>
      <t xml:space="preserve"> (от 0,15 ст. до 1 ст.)</t>
    </r>
  </si>
  <si>
    <r>
      <rPr>
        <b/>
        <u val="single"/>
        <sz val="12"/>
        <rFont val="Times New Roman"/>
        <family val="1"/>
      </rPr>
      <t>5.1.</t>
    </r>
    <r>
      <rPr>
        <b/>
        <sz val="12"/>
        <rFont val="Times New Roman"/>
        <family val="1"/>
      </rPr>
      <t xml:space="preserve"> </t>
    </r>
  </si>
  <si>
    <r>
      <rPr>
        <b/>
        <u val="single"/>
        <sz val="12"/>
        <rFont val="Times New Roman"/>
        <family val="1"/>
      </rPr>
      <t>5.2.</t>
    </r>
    <r>
      <rPr>
        <b/>
        <sz val="12"/>
        <rFont val="Times New Roman"/>
        <family val="1"/>
      </rPr>
      <t xml:space="preserve"> </t>
    </r>
  </si>
  <si>
    <t>ВСЕГО ОБУЧАЮЩИХСЯ в организациях, в котор. имеются чл. Профсоюза</t>
  </si>
  <si>
    <r>
      <t xml:space="preserve">          </t>
    </r>
    <r>
      <rPr>
        <i/>
        <sz val="8"/>
        <rFont val="Times New Roman"/>
        <family val="1"/>
      </rPr>
      <t xml:space="preserve">- </t>
    </r>
    <r>
      <rPr>
        <sz val="11"/>
        <rFont val="Times New Roman"/>
        <family val="1"/>
      </rPr>
      <t>обучающихся в связи с завершением  обучения</t>
    </r>
  </si>
  <si>
    <t>5.3.3.</t>
  </si>
  <si>
    <t>на 1 января 2018 г.</t>
  </si>
  <si>
    <t xml:space="preserve">СВЕДЕНИЯ ОБ ОРГАНИЗАЦИЯХ ОБРАЗОВАНИЯ  </t>
  </si>
  <si>
    <r>
      <t>Общеобразовательные организации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>(школы, лицеи, гимназии и т.д.)</t>
    </r>
    <r>
      <rPr>
        <sz val="13"/>
        <rFont val="Times New Roman"/>
        <family val="1"/>
      </rPr>
      <t xml:space="preserve"> </t>
    </r>
  </si>
  <si>
    <t>КОЛИЧЕСТВО ОБРАЗОВАТЕЛЬНЫХ ОРГАНИЗАЦИЙ, В КОТОРЫХ</t>
  </si>
  <si>
    <r>
      <t>ИМЕЮТСЯ ЧЛЕНЫ ОБЩЕРОССИЙСКОГО ПРОФСОЮЗА ОБРАЗОВАНИЯ</t>
    </r>
    <r>
      <rPr>
        <b/>
        <sz val="12"/>
        <rFont val="Times New Roman"/>
        <family val="1"/>
      </rPr>
      <t xml:space="preserve">   </t>
    </r>
  </si>
  <si>
    <t xml:space="preserve">в них:   - работающих (без совместителей) </t>
  </si>
  <si>
    <t xml:space="preserve">            - обучающихся (студентов)</t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</si>
  <si>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</si>
  <si>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Другие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(см. пояснение)</t>
    </r>
    <r>
      <rPr>
        <vertAlign val="superscript"/>
        <sz val="12"/>
        <rFont val="Times New Roman"/>
        <family val="1"/>
      </rPr>
      <t xml:space="preserve"> </t>
    </r>
  </si>
  <si>
    <t>в них:  - профсоюзных организаций структурных подразделений (профбюро)</t>
  </si>
  <si>
    <r>
      <t xml:space="preserve">Всего малочисленных профсоюзных организаций </t>
    </r>
    <r>
      <rPr>
        <sz val="11"/>
        <rFont val="Times New Roman"/>
        <family val="1"/>
      </rPr>
      <t>(где не избираются профкомы)</t>
    </r>
  </si>
  <si>
    <r>
      <t xml:space="preserve">в т.ч.: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 (по личному заявлению о выходе)</t>
    </r>
  </si>
  <si>
    <r>
      <t xml:space="preserve"> члены КРК (с председателем)</t>
    </r>
    <r>
      <rPr>
        <sz val="11"/>
        <rFont val="Times New Roman"/>
        <family val="1"/>
      </rPr>
      <t xml:space="preserve"> </t>
    </r>
  </si>
  <si>
    <t>4.2.2.</t>
  </si>
  <si>
    <t>4.2.2.1.</t>
  </si>
  <si>
    <t xml:space="preserve">4.2.2.2. </t>
  </si>
  <si>
    <t>4.2.2.3.</t>
  </si>
  <si>
    <t>юрист</t>
  </si>
  <si>
    <t xml:space="preserve">председатель </t>
  </si>
  <si>
    <t>зам.председателя</t>
  </si>
  <si>
    <t>другие специалисты</t>
  </si>
  <si>
    <t>4.2.2.4.</t>
  </si>
  <si>
    <t xml:space="preserve">бухгалтер </t>
  </si>
  <si>
    <t>Общее количество школ профактива и семинаров на мун. уровне и уровне ППО</t>
  </si>
  <si>
    <t>Прошли обучение за отчетный период на муниц. уровне и уровне ППО</t>
  </si>
  <si>
    <t>другие (см. пояснение)</t>
  </si>
  <si>
    <r>
      <t>Организации дополнительного образования</t>
    </r>
    <r>
      <rPr>
        <sz val="13"/>
        <rFont val="Times New Roman"/>
        <family val="1"/>
      </rPr>
      <t xml:space="preserve"> (детей)</t>
    </r>
  </si>
  <si>
    <r>
      <rPr>
        <b/>
        <sz val="13"/>
        <rFont val="Times New Roman"/>
        <family val="1"/>
      </rPr>
      <t>Профессиональные образовательные организации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(НПО, СПО) (см. пояснение)</t>
    </r>
  </si>
  <si>
    <r>
      <t xml:space="preserve">Профсоюзных организ. в профессион. образ. организациях </t>
    </r>
    <r>
      <rPr>
        <sz val="13"/>
        <rFont val="Times New Roman"/>
        <family val="1"/>
      </rPr>
      <t>(НПО, СПО)</t>
    </r>
    <r>
      <rPr>
        <b/>
        <sz val="13"/>
        <rFont val="Times New Roman"/>
        <family val="1"/>
      </rPr>
      <t>:</t>
    </r>
  </si>
  <si>
    <r>
      <t xml:space="preserve">в них: </t>
    </r>
  </si>
  <si>
    <r>
      <t>Профорганизаций  в организациях дополн. образования</t>
    </r>
    <r>
      <rPr>
        <sz val="13"/>
        <rFont val="Times New Roman"/>
        <family val="1"/>
      </rPr>
      <t xml:space="preserve"> (детей)</t>
    </r>
  </si>
  <si>
    <r>
      <t xml:space="preserve">из них: </t>
    </r>
  </si>
  <si>
    <r>
      <t>молодежь до 35 лет</t>
    </r>
    <r>
      <rPr>
        <sz val="13"/>
        <rFont val="Times New Roman"/>
        <family val="1"/>
      </rPr>
      <t xml:space="preserve"> (из педагогических работников) </t>
    </r>
    <r>
      <rPr>
        <sz val="11"/>
        <rFont val="Times New Roman"/>
        <family val="1"/>
      </rPr>
      <t>(в %)</t>
    </r>
  </si>
  <si>
    <r>
      <t xml:space="preserve">В первич. профорганизациях профессион. образ. организаций </t>
    </r>
    <r>
      <rPr>
        <sz val="13"/>
        <rFont val="Times New Roman"/>
        <family val="1"/>
      </rPr>
      <t>(НПО,СПО)</t>
    </r>
    <r>
      <rPr>
        <b/>
        <sz val="13"/>
        <rFont val="Times New Roman"/>
        <family val="1"/>
      </rPr>
      <t xml:space="preserve"> </t>
    </r>
  </si>
  <si>
    <r>
      <t xml:space="preserve">Профессиональные образовательные организации </t>
    </r>
    <r>
      <rPr>
        <sz val="11"/>
        <rFont val="Times New Roman"/>
        <family val="1"/>
      </rPr>
      <t>(НПО, СПО) (см. пояснение)</t>
    </r>
  </si>
  <si>
    <t>в организациях (учреждениях) педагогического образования</t>
  </si>
  <si>
    <t>ВЫБЫЛО ИЗ ПРОФСОЮЗА</t>
  </si>
  <si>
    <t>Яшалтинская местная организация Профсоюза</t>
  </si>
  <si>
    <t>Цветкова Елена Валентиновна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</si>
</sst>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[$-FC19]d\ mmmm\ yyyy\ &quot;г.&quot;"/>
  </numFmts>
  <fonts count="82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Times New Roman"/>
      <family val="1"/>
    </font>
    <font>
      <sz val="9"/>
      <color indexed="30"/>
      <name val="Arial Cyr"/>
      <family val="2"/>
    </font>
    <font>
      <sz val="10"/>
      <color indexed="30"/>
      <name val="Arial Cyr"/>
      <family val="2"/>
    </font>
    <font>
      <b/>
      <sz val="10"/>
      <color indexed="30"/>
      <name val="Arial Cyr"/>
      <family val="0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9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Times New Roman"/>
      <family val="1"/>
    </font>
    <font>
      <sz val="9"/>
      <color rgb="FF0070C0"/>
      <name val="Arial Cyr"/>
      <family val="2"/>
    </font>
    <font>
      <sz val="10"/>
      <color rgb="FF0070C0"/>
      <name val="Arial Cyr"/>
      <family val="2"/>
    </font>
    <font>
      <b/>
      <sz val="10"/>
      <color rgb="FF0070C0"/>
      <name val="Arial Cyr"/>
      <family val="0"/>
    </font>
    <font>
      <b/>
      <sz val="10"/>
      <color rgb="FF00206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>
        <color indexed="63"/>
      </right>
      <top style="thin"/>
      <bottom style="thin">
        <color indexed="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/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6" fillId="0" borderId="0" applyFill="0" applyBorder="0" applyAlignment="0" applyProtection="0"/>
    <xf numFmtId="0" fontId="70" fillId="0" borderId="9" applyNumberFormat="0" applyFill="0" applyAlignment="0" applyProtection="0"/>
    <xf numFmtId="0" fontId="0" fillId="0" borderId="10" applyBorder="0">
      <alignment/>
      <protection/>
    </xf>
    <xf numFmtId="0" fontId="0" fillId="0" borderId="10" applyBorder="0">
      <alignment/>
      <protection/>
    </xf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33" borderId="18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1" fillId="33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33" borderId="20" xfId="0" applyNumberFormat="1" applyFont="1" applyFill="1" applyBorder="1" applyAlignment="1" applyProtection="1">
      <alignment horizontal="center"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 locked="0"/>
    </xf>
    <xf numFmtId="3" fontId="4" fillId="33" borderId="21" xfId="0" applyNumberFormat="1" applyFont="1" applyFill="1" applyBorder="1" applyAlignment="1" applyProtection="1">
      <alignment horizontal="center" vertical="center"/>
      <protection locked="0"/>
    </xf>
    <xf numFmtId="3" fontId="4" fillId="33" borderId="22" xfId="0" applyNumberFormat="1" applyFont="1" applyFill="1" applyBorder="1" applyAlignment="1" applyProtection="1">
      <alignment horizontal="center" vertical="center"/>
      <protection locked="0"/>
    </xf>
    <xf numFmtId="3" fontId="4" fillId="33" borderId="23" xfId="0" applyNumberFormat="1" applyFont="1" applyFill="1" applyBorder="1" applyAlignment="1" applyProtection="1">
      <alignment horizontal="center" vertical="center"/>
      <protection locked="0"/>
    </xf>
    <xf numFmtId="3" fontId="4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33" borderId="24" xfId="0" applyNumberFormat="1" applyFont="1" applyFill="1" applyBorder="1" applyAlignment="1" applyProtection="1">
      <alignment horizontal="center" vertical="center"/>
      <protection locked="0"/>
    </xf>
    <xf numFmtId="3" fontId="3" fillId="33" borderId="15" xfId="0" applyNumberFormat="1" applyFont="1" applyFill="1" applyBorder="1" applyAlignment="1" applyProtection="1">
      <alignment horizontal="center" vertical="center"/>
      <protection locked="0"/>
    </xf>
    <xf numFmtId="3" fontId="4" fillId="33" borderId="25" xfId="0" applyNumberFormat="1" applyFont="1" applyFill="1" applyBorder="1" applyAlignment="1" applyProtection="1">
      <alignment horizontal="center" vertical="center"/>
      <protection locked="0"/>
    </xf>
    <xf numFmtId="3" fontId="4" fillId="33" borderId="26" xfId="0" applyNumberFormat="1" applyFont="1" applyFill="1" applyBorder="1" applyAlignment="1" applyProtection="1">
      <alignment horizontal="center" vertical="center"/>
      <protection locked="0"/>
    </xf>
    <xf numFmtId="3" fontId="4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33" borderId="28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29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33" borderId="29" xfId="0" applyFont="1" applyFill="1" applyBorder="1" applyAlignment="1">
      <alignment horizontal="center" vertical="center"/>
    </xf>
    <xf numFmtId="3" fontId="3" fillId="35" borderId="32" xfId="0" applyNumberFormat="1" applyFont="1" applyFill="1" applyBorder="1" applyAlignment="1" applyProtection="1">
      <alignment horizontal="center" vertical="center"/>
      <protection/>
    </xf>
    <xf numFmtId="3" fontId="3" fillId="35" borderId="33" xfId="0" applyNumberFormat="1" applyFont="1" applyFill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11" fillId="33" borderId="34" xfId="0" applyFont="1" applyFill="1" applyBorder="1" applyAlignment="1">
      <alignment horizontal="center" vertical="center"/>
    </xf>
    <xf numFmtId="180" fontId="3" fillId="33" borderId="15" xfId="55" applyNumberFormat="1" applyFont="1" applyFill="1" applyBorder="1" applyAlignment="1" applyProtection="1">
      <alignment horizontal="center" vertical="center"/>
      <protection/>
    </xf>
    <xf numFmtId="0" fontId="15" fillId="33" borderId="12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center" vertical="center"/>
      <protection/>
    </xf>
    <xf numFmtId="0" fontId="13" fillId="34" borderId="28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9" xfId="0" applyFont="1" applyBorder="1" applyAlignment="1">
      <alignment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3" fontId="3" fillId="35" borderId="20" xfId="0" applyNumberFormat="1" applyFont="1" applyFill="1" applyBorder="1" applyAlignment="1" applyProtection="1">
      <alignment horizontal="center" vertical="center"/>
      <protection/>
    </xf>
    <xf numFmtId="3" fontId="3" fillId="35" borderId="37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3" fillId="35" borderId="2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/>
      <protection locked="0"/>
    </xf>
    <xf numFmtId="10" fontId="3" fillId="33" borderId="35" xfId="0" applyNumberFormat="1" applyFont="1" applyFill="1" applyBorder="1" applyAlignment="1" applyProtection="1">
      <alignment horizontal="center" vertical="center"/>
      <protection/>
    </xf>
    <xf numFmtId="180" fontId="3" fillId="35" borderId="38" xfId="55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2" fillId="0" borderId="2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4" fillId="33" borderId="29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/>
    </xf>
    <xf numFmtId="3" fontId="3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/>
    </xf>
    <xf numFmtId="0" fontId="8" fillId="33" borderId="40" xfId="0" applyFont="1" applyFill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19" fillId="0" borderId="0" xfId="0" applyFont="1" applyBorder="1" applyAlignment="1">
      <alignment/>
    </xf>
    <xf numFmtId="0" fontId="3" fillId="33" borderId="29" xfId="0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>
      <alignment horizontal="left" vertical="center"/>
    </xf>
    <xf numFmtId="0" fontId="8" fillId="33" borderId="40" xfId="0" applyFont="1" applyFill="1" applyBorder="1" applyAlignment="1">
      <alignment vertical="center"/>
    </xf>
    <xf numFmtId="0" fontId="8" fillId="0" borderId="41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Alignment="1">
      <alignment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3" fontId="3" fillId="35" borderId="42" xfId="0" applyNumberFormat="1" applyFont="1" applyFill="1" applyBorder="1" applyAlignment="1" applyProtection="1">
      <alignment horizontal="center" vertical="center"/>
      <protection/>
    </xf>
    <xf numFmtId="0" fontId="11" fillId="33" borderId="43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19" fillId="33" borderId="29" xfId="0" applyFont="1" applyFill="1" applyBorder="1" applyAlignment="1">
      <alignment horizontal="left" vertical="center"/>
    </xf>
    <xf numFmtId="0" fontId="19" fillId="34" borderId="29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19" fillId="33" borderId="29" xfId="0" applyFont="1" applyFill="1" applyBorder="1" applyAlignment="1">
      <alignment horizontal="left"/>
    </xf>
    <xf numFmtId="0" fontId="3" fillId="33" borderId="29" xfId="0" applyNumberFormat="1" applyFont="1" applyFill="1" applyBorder="1" applyAlignment="1">
      <alignment horizontal="left" vertical="center"/>
    </xf>
    <xf numFmtId="0" fontId="3" fillId="33" borderId="29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" fontId="75" fillId="33" borderId="44" xfId="0" applyNumberFormat="1" applyFont="1" applyFill="1" applyBorder="1" applyAlignment="1">
      <alignment/>
    </xf>
    <xf numFmtId="0" fontId="0" fillId="0" borderId="45" xfId="0" applyBorder="1" applyAlignment="1">
      <alignment/>
    </xf>
    <xf numFmtId="3" fontId="4" fillId="33" borderId="46" xfId="0" applyNumberFormat="1" applyFont="1" applyFill="1" applyBorder="1" applyAlignment="1" applyProtection="1">
      <alignment horizontal="right" vertical="center"/>
      <protection/>
    </xf>
    <xf numFmtId="0" fontId="9" fillId="33" borderId="28" xfId="0" applyFont="1" applyFill="1" applyBorder="1" applyAlignment="1">
      <alignment horizontal="center" vertical="center"/>
    </xf>
    <xf numFmtId="0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49" fontId="26" fillId="0" borderId="0" xfId="0" applyNumberFormat="1" applyFont="1" applyBorder="1" applyAlignment="1" applyProtection="1">
      <alignment/>
      <protection/>
    </xf>
    <xf numFmtId="3" fontId="4" fillId="33" borderId="32" xfId="0" applyNumberFormat="1" applyFont="1" applyFill="1" applyBorder="1" applyAlignment="1" applyProtection="1">
      <alignment horizontal="center" vertical="center"/>
      <protection locked="0"/>
    </xf>
    <xf numFmtId="0" fontId="75" fillId="3" borderId="44" xfId="0" applyFont="1" applyFill="1" applyBorder="1" applyAlignment="1">
      <alignment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0" fontId="76" fillId="33" borderId="29" xfId="0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9" fillId="0" borderId="47" xfId="0" applyFont="1" applyBorder="1" applyAlignment="1">
      <alignment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80" fillId="33" borderId="4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6" fillId="33" borderId="2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11" fillId="33" borderId="48" xfId="0" applyFont="1" applyFill="1" applyBorder="1" applyAlignment="1">
      <alignment horizontal="center" vertical="center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Alignment="1">
      <alignment horizontal="center"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4" fillId="33" borderId="49" xfId="0" applyFont="1" applyFill="1" applyBorder="1" applyAlignment="1">
      <alignment horizontal="left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/>
    </xf>
    <xf numFmtId="0" fontId="7" fillId="0" borderId="5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92D050"/>
      </font>
      <fill>
        <patternFill>
          <bgColor rgb="FF00B05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tabSelected="1" zoomScale="80" zoomScaleNormal="80" zoomScaleSheetLayoutView="80" workbookViewId="0" topLeftCell="A121">
      <selection activeCell="D33" sqref="D33"/>
    </sheetView>
  </sheetViews>
  <sheetFormatPr defaultColWidth="8.875" defaultRowHeight="12.75"/>
  <cols>
    <col min="1" max="1" width="7.125" style="3" customWidth="1"/>
    <col min="2" max="2" width="82.00390625" style="10" customWidth="1"/>
    <col min="3" max="3" width="6.75390625" style="56" customWidth="1"/>
    <col min="4" max="4" width="9.625" style="39" customWidth="1"/>
    <col min="5" max="5" width="5.25390625" style="10" hidden="1" customWidth="1"/>
    <col min="6" max="6" width="13.125" style="66" customWidth="1"/>
    <col min="7" max="7" width="17.625" style="10" customWidth="1"/>
    <col min="8" max="8" width="8.875" style="10" customWidth="1"/>
    <col min="9" max="9" width="22.00390625" style="10" customWidth="1"/>
    <col min="10" max="16384" width="8.875" style="10" customWidth="1"/>
  </cols>
  <sheetData>
    <row r="1" spans="2:4" ht="12.75">
      <c r="B1" s="1" t="s">
        <v>54</v>
      </c>
      <c r="D1" s="2" t="s">
        <v>55</v>
      </c>
    </row>
    <row r="2" spans="1:4" ht="12.75">
      <c r="A2" s="169">
        <f>E166</f>
        <v>111</v>
      </c>
      <c r="B2" s="1" t="s">
        <v>66</v>
      </c>
      <c r="C2" s="3"/>
      <c r="D2" s="4"/>
    </row>
    <row r="3" spans="2:4" ht="12.75">
      <c r="B3" s="5"/>
      <c r="C3" s="3"/>
      <c r="D3" s="4"/>
    </row>
    <row r="4" spans="1:4" ht="15.75">
      <c r="A4" s="176" t="s">
        <v>81</v>
      </c>
      <c r="B4" s="176"/>
      <c r="C4" s="176"/>
      <c r="D4" s="176"/>
    </row>
    <row r="5" spans="1:4" ht="15.75">
      <c r="A5" s="177" t="s">
        <v>82</v>
      </c>
      <c r="B5" s="177"/>
      <c r="C5" s="177"/>
      <c r="D5" s="177"/>
    </row>
    <row r="6" spans="1:4" ht="15.75">
      <c r="A6" s="178" t="s">
        <v>162</v>
      </c>
      <c r="B6" s="178"/>
      <c r="C6" s="178"/>
      <c r="D6" s="178"/>
    </row>
    <row r="7" spans="1:6" ht="48" customHeight="1">
      <c r="A7" s="51"/>
      <c r="B7" s="180" t="s">
        <v>199</v>
      </c>
      <c r="C7" s="180"/>
      <c r="D7" s="128"/>
      <c r="E7" s="6">
        <f>COUNTA(B7)</f>
        <v>1</v>
      </c>
      <c r="F7" s="67" t="str">
        <f>IF(E7=1," ","Не заполнено")</f>
        <v> </v>
      </c>
    </row>
    <row r="8" spans="1:6" ht="13.5" thickBot="1">
      <c r="A8" s="179" t="s">
        <v>58</v>
      </c>
      <c r="B8" s="179"/>
      <c r="C8" s="179"/>
      <c r="D8" s="179"/>
      <c r="F8" s="67"/>
    </row>
    <row r="9" spans="1:6" ht="18.75">
      <c r="A9" s="110" t="s">
        <v>0</v>
      </c>
      <c r="B9" s="111" t="s">
        <v>163</v>
      </c>
      <c r="C9" s="170"/>
      <c r="D9" s="141" t="str">
        <f>LEFT(B7,14)</f>
        <v>Яшалтинская ме</v>
      </c>
      <c r="F9" s="67"/>
    </row>
    <row r="10" spans="1:6" ht="16.5" thickBot="1">
      <c r="A10" s="129" t="s">
        <v>1</v>
      </c>
      <c r="B10" s="112" t="s">
        <v>145</v>
      </c>
      <c r="C10" s="140"/>
      <c r="D10" s="89" t="s">
        <v>25</v>
      </c>
      <c r="F10" s="67"/>
    </row>
    <row r="11" spans="1:6" ht="16.5" thickBot="1">
      <c r="A11" s="52"/>
      <c r="B11" s="112" t="s">
        <v>146</v>
      </c>
      <c r="C11" s="167" t="s">
        <v>2</v>
      </c>
      <c r="D11" s="20">
        <f>D12+D13+D14+D16</f>
        <v>19</v>
      </c>
      <c r="E11" s="6"/>
      <c r="F11" s="67"/>
    </row>
    <row r="12" spans="1:7" ht="17.25" thickBot="1">
      <c r="A12" s="101" t="s">
        <v>3</v>
      </c>
      <c r="B12" s="100" t="s">
        <v>164</v>
      </c>
      <c r="C12" s="7"/>
      <c r="D12" s="45">
        <v>12</v>
      </c>
      <c r="E12" s="6">
        <f>COUNTA(D12)</f>
        <v>1</v>
      </c>
      <c r="F12" s="67" t="str">
        <f>IF(E12=1," ","Не заполнено")</f>
        <v> </v>
      </c>
      <c r="G12" s="117">
        <f>IF(D12-D19&gt;=0,,"'НЕПРАВИЛЬНО! п.п.1.1.1. не может быть меньше п.п.1.2.1.!")</f>
        <v>0</v>
      </c>
    </row>
    <row r="13" spans="1:7" ht="17.25" thickBot="1">
      <c r="A13" s="101" t="s">
        <v>4</v>
      </c>
      <c r="B13" s="100" t="s">
        <v>39</v>
      </c>
      <c r="C13" s="7"/>
      <c r="D13" s="45">
        <v>3</v>
      </c>
      <c r="E13" s="6">
        <f>COUNTA(D13)</f>
        <v>1</v>
      </c>
      <c r="F13" s="67" t="str">
        <f>IF(E13=1," ","Не заполнено")</f>
        <v> </v>
      </c>
      <c r="G13" s="117">
        <f>IF(D13-D23&gt;=0,,"'НЕПРАВИЛЬНО! п.п.1.1.2. не может быть меньше п.п.1.2.2.!")</f>
        <v>0</v>
      </c>
    </row>
    <row r="14" spans="1:7" ht="17.25" thickBot="1">
      <c r="A14" s="101" t="s">
        <v>5</v>
      </c>
      <c r="B14" s="100" t="s">
        <v>196</v>
      </c>
      <c r="C14" s="7"/>
      <c r="D14" s="45">
        <v>0</v>
      </c>
      <c r="E14" s="6">
        <f>COUNTA(D14)</f>
        <v>1</v>
      </c>
      <c r="F14" s="67" t="str">
        <f>IF(E14=1," ","Не заполнено")</f>
        <v> </v>
      </c>
      <c r="G14" s="117">
        <f>IF(D14-D27&gt;=0,,"'НЕПРАВИЛЬНО! п.п.1.1.3. не может быть меньше п.п.1.2.3.!")</f>
        <v>0</v>
      </c>
    </row>
    <row r="15" spans="1:7" ht="15.75" thickBot="1">
      <c r="A15" s="53"/>
      <c r="B15" s="163" t="s">
        <v>60</v>
      </c>
      <c r="C15" s="7"/>
      <c r="D15" s="45">
        <v>0</v>
      </c>
      <c r="E15" s="6">
        <f>COUNTA(D15)</f>
        <v>1</v>
      </c>
      <c r="F15" s="67" t="str">
        <f>IF(E15=1," ","Не заполнено")</f>
        <v> </v>
      </c>
      <c r="G15" s="117">
        <f>IF(D15-D32&gt;=0,,"'НЕПРАВИЛЬНО! п.п.1.1.3. в т.ч. не может быть меньше п.п.1.2.3. в т.ч.!")</f>
        <v>0</v>
      </c>
    </row>
    <row r="16" spans="1:7" ht="17.25" thickBot="1">
      <c r="A16" s="101" t="s">
        <v>59</v>
      </c>
      <c r="B16" s="100" t="s">
        <v>188</v>
      </c>
      <c r="C16" s="7"/>
      <c r="D16" s="45">
        <v>4</v>
      </c>
      <c r="E16" s="6">
        <f>COUNTA(D16)</f>
        <v>1</v>
      </c>
      <c r="F16" s="67" t="str">
        <f>IF(E16=1," ","Не заполнено")</f>
        <v> </v>
      </c>
      <c r="G16" s="117">
        <f>IF(D16-D37&gt;=0,,"'НЕПРАВИЛЬНО! п.п.1.1.4. не может быть меньше п.п.1.2.4.!")</f>
        <v>0</v>
      </c>
    </row>
    <row r="17" spans="1:6" ht="17.25" customHeight="1" thickBot="1">
      <c r="A17" s="130" t="s">
        <v>6</v>
      </c>
      <c r="B17" s="112" t="s">
        <v>165</v>
      </c>
      <c r="C17" s="76"/>
      <c r="D17" s="89" t="s">
        <v>25</v>
      </c>
      <c r="E17" s="6"/>
      <c r="F17" s="67"/>
    </row>
    <row r="18" spans="1:6" ht="18" customHeight="1" thickBot="1">
      <c r="A18" s="54"/>
      <c r="B18" s="112" t="s">
        <v>166</v>
      </c>
      <c r="C18" s="73"/>
      <c r="D18" s="74">
        <f>D19+D23+D27+D37+D41</f>
        <v>18</v>
      </c>
      <c r="E18" s="6"/>
      <c r="F18" s="67"/>
    </row>
    <row r="19" spans="1:7" ht="17.25" thickBot="1">
      <c r="A19" s="101" t="s">
        <v>139</v>
      </c>
      <c r="B19" s="100" t="s">
        <v>38</v>
      </c>
      <c r="C19" s="7"/>
      <c r="D19" s="45">
        <v>12</v>
      </c>
      <c r="E19" s="6">
        <f aca="true" t="shared" si="0" ref="E19:E44">COUNTA(D19)</f>
        <v>1</v>
      </c>
      <c r="F19" s="67" t="str">
        <f aca="true" t="shared" si="1" ref="F19:F44">IF(E19=1," ","Не заполнено")</f>
        <v> </v>
      </c>
      <c r="G19" s="117">
        <f>IF(D19-D12&lt;=0,,"'НЕПРАВИЛЬНО! п.п.1.2.1. не может быть больше п.п.1.1.1.!")</f>
        <v>0</v>
      </c>
    </row>
    <row r="20" spans="1:7" ht="15">
      <c r="A20" s="53"/>
      <c r="B20" s="9" t="s">
        <v>130</v>
      </c>
      <c r="C20" s="59"/>
      <c r="D20" s="46">
        <v>411</v>
      </c>
      <c r="E20" s="6">
        <f t="shared" si="0"/>
        <v>1</v>
      </c>
      <c r="F20" s="67" t="str">
        <f t="shared" si="1"/>
        <v> </v>
      </c>
      <c r="G20" s="117">
        <f>IF(D20-D55&gt;=0,,"'НЕПРАВИЛЬНО! п.п.1.2.1. (в них: работающих) не может быть меньше п.п.2.1.3. (в них: чл. Профсоюза)!")</f>
        <v>0</v>
      </c>
    </row>
    <row r="21" spans="1:7" ht="15">
      <c r="A21" s="53"/>
      <c r="B21" s="9" t="s">
        <v>132</v>
      </c>
      <c r="C21" s="60"/>
      <c r="D21" s="47">
        <v>233</v>
      </c>
      <c r="E21" s="6">
        <f t="shared" si="0"/>
        <v>1</v>
      </c>
      <c r="F21" s="67" t="str">
        <f t="shared" si="1"/>
        <v> </v>
      </c>
      <c r="G21" s="117">
        <f>IF(D21-D56&gt;=0,,"'НЕПРАВИЛЬНО! п.п.1.2.1. (в т.ч.: пед. работников) не может быть меньше п.п.2.1.3. (в т.ч.: пед. работников)!")</f>
        <v>0</v>
      </c>
    </row>
    <row r="22" spans="1:7" ht="15.75" thickBot="1">
      <c r="A22" s="53"/>
      <c r="B22" s="9" t="s">
        <v>129</v>
      </c>
      <c r="C22" s="60"/>
      <c r="D22" s="48">
        <v>45</v>
      </c>
      <c r="E22" s="6">
        <f>COUNTA(D22)</f>
        <v>1</v>
      </c>
      <c r="F22" s="67" t="str">
        <f t="shared" si="1"/>
        <v> </v>
      </c>
      <c r="G22" s="117">
        <f>IF(D22-D57&gt;=0,,"'НЕПРАВИЛЬНО! п.п.1.2.1. (из них: молодежи из пед. раб.) не может быть меньше п.п.2.1.3.  (из них: молодежи из пед. раб.)!")</f>
        <v>0</v>
      </c>
    </row>
    <row r="23" spans="1:7" ht="17.25" thickBot="1">
      <c r="A23" s="101" t="s">
        <v>140</v>
      </c>
      <c r="B23" s="100" t="s">
        <v>39</v>
      </c>
      <c r="C23" s="7"/>
      <c r="D23" s="45">
        <v>3</v>
      </c>
      <c r="E23" s="6">
        <f t="shared" si="0"/>
        <v>1</v>
      </c>
      <c r="F23" s="67" t="str">
        <f t="shared" si="1"/>
        <v> </v>
      </c>
      <c r="G23" s="117">
        <f>IF(D23-D13&lt;=0,,"'НЕПРАВИЛЬНО! п.п.1.2.2. не может быть больше п.п.1.1.2.!")</f>
        <v>0</v>
      </c>
    </row>
    <row r="24" spans="1:7" ht="15">
      <c r="A24" s="53"/>
      <c r="B24" s="9" t="s">
        <v>29</v>
      </c>
      <c r="C24" s="58"/>
      <c r="D24" s="46">
        <v>102</v>
      </c>
      <c r="E24" s="6">
        <f t="shared" si="0"/>
        <v>1</v>
      </c>
      <c r="F24" s="67" t="str">
        <f t="shared" si="1"/>
        <v> </v>
      </c>
      <c r="G24" s="117">
        <f>IF(D24-D59&gt;=0,,"'НЕПРАВИЛЬНО! п.п.1.2.2. (в них: работающих) не может быть меньше п.п.2.1.4. (в них: чл. Профсоюза)!")</f>
        <v>0</v>
      </c>
    </row>
    <row r="25" spans="1:7" ht="15">
      <c r="A25" s="53"/>
      <c r="B25" s="9" t="s">
        <v>132</v>
      </c>
      <c r="C25" s="60"/>
      <c r="D25" s="47">
        <v>41</v>
      </c>
      <c r="E25" s="6">
        <f t="shared" si="0"/>
        <v>1</v>
      </c>
      <c r="F25" s="67" t="str">
        <f t="shared" si="1"/>
        <v> </v>
      </c>
      <c r="G25" s="117">
        <f>IF(D25-D60&gt;=0,,"'НЕПРАВИЛЬНО! п.п.1.2.2. (в т.ч.: пед. работников) не может быть меньше п.п.2.1.4. (в т.ч.: пед. работников)!")</f>
        <v>0</v>
      </c>
    </row>
    <row r="26" spans="1:7" ht="15.75" thickBot="1">
      <c r="A26" s="53"/>
      <c r="B26" s="9" t="s">
        <v>129</v>
      </c>
      <c r="C26" s="60"/>
      <c r="D26" s="48">
        <v>22</v>
      </c>
      <c r="E26" s="6">
        <f>COUNTA(D26)</f>
        <v>1</v>
      </c>
      <c r="F26" s="67" t="str">
        <f t="shared" si="1"/>
        <v> </v>
      </c>
      <c r="G26" s="117">
        <f>IF(D26-D61&gt;=0,,"'НЕПРАВИЛЬНО! п.п.1.2.2. (из них: молодежи из пед. раб.) не может быть меньше п.п.2.1.4. (из них: молодежи из пед. раб.)!")</f>
        <v>0</v>
      </c>
    </row>
    <row r="27" spans="1:7" ht="17.25" thickBot="1">
      <c r="A27" s="101" t="s">
        <v>141</v>
      </c>
      <c r="B27" s="13" t="s">
        <v>189</v>
      </c>
      <c r="C27" s="122"/>
      <c r="D27" s="45">
        <v>0</v>
      </c>
      <c r="E27" s="6">
        <f>COUNTA(D27)</f>
        <v>1</v>
      </c>
      <c r="F27" s="67" t="str">
        <f t="shared" si="1"/>
        <v> </v>
      </c>
      <c r="G27" s="117">
        <f>IF(D27-D14&lt;=0,,"'НЕПРАВИЛЬНО! п.п.1.2.3. не может быть больше п.п.1.1.3. !")</f>
        <v>0</v>
      </c>
    </row>
    <row r="28" spans="1:7" ht="15">
      <c r="A28" s="151"/>
      <c r="B28" s="152" t="s">
        <v>167</v>
      </c>
      <c r="C28" s="123"/>
      <c r="D28" s="47">
        <v>0</v>
      </c>
      <c r="E28" s="6">
        <f aca="true" t="shared" si="2" ref="E28:E36">COUNTA(D28)</f>
        <v>1</v>
      </c>
      <c r="F28" s="67" t="str">
        <f t="shared" si="1"/>
        <v> </v>
      </c>
      <c r="G28" s="117">
        <f>IF(D28-(D65+D70)&gt;=0,,"'НЕПРАВИЛЬНО! п.п.1.2.3. (в них: работающих) не может быть меньше суммы ((п.п.2.1.5. а) (в них: чл.Профсоюза работающих)+п.п.2.1.5. б) (в них: чл. Профсоюза))!")</f>
        <v>0</v>
      </c>
    </row>
    <row r="29" spans="1:7" ht="15">
      <c r="A29" s="151"/>
      <c r="B29" s="152" t="s">
        <v>134</v>
      </c>
      <c r="C29" s="123"/>
      <c r="D29" s="47">
        <v>0</v>
      </c>
      <c r="E29" s="6">
        <f t="shared" si="2"/>
        <v>1</v>
      </c>
      <c r="F29" s="67" t="str">
        <f t="shared" si="1"/>
        <v> </v>
      </c>
      <c r="G29" s="117">
        <f>IF(D29-(D66+D71)&gt;=0,,"'НЕПРАВИЛЬНО! п.п.1.2.3. (в т.ч.: пед. работников) не может быть меньше суммы ((п.п.2.1.5. а) (в т.ч.: пед. работников)+п.п.2.1.5. б) (в т.ч.: пед. работников))!")</f>
        <v>0</v>
      </c>
    </row>
    <row r="30" spans="1:7" ht="15">
      <c r="A30" s="151"/>
      <c r="B30" s="9" t="s">
        <v>129</v>
      </c>
      <c r="C30" s="123"/>
      <c r="D30" s="47">
        <v>0</v>
      </c>
      <c r="E30" s="6">
        <f t="shared" si="2"/>
        <v>1</v>
      </c>
      <c r="F30" s="67" t="str">
        <f t="shared" si="1"/>
        <v> </v>
      </c>
      <c r="G30" s="117">
        <f>IF(D30-(D67+D72)&gt;=0,,"'НЕПРАВИЛЬНО! п.п.1.2.3. (из них: молодежи из пед. раб.) не может быть меньше суммы ((п.п.2.1.5. а) (из них: молодежи из пед. раб.)+п.п.2.1.5. б) (из них: молодежи из пед.раб.))!")</f>
        <v>0</v>
      </c>
    </row>
    <row r="31" spans="1:7" ht="15.75" thickBot="1">
      <c r="A31" s="101"/>
      <c r="B31" s="152" t="s">
        <v>168</v>
      </c>
      <c r="C31" s="123"/>
      <c r="D31" s="47">
        <v>0</v>
      </c>
      <c r="E31" s="6">
        <f t="shared" si="2"/>
        <v>1</v>
      </c>
      <c r="F31" s="67" t="str">
        <f t="shared" si="1"/>
        <v> </v>
      </c>
      <c r="G31" s="117">
        <f>IF(D31-(D68+D74)&gt;=0,,"'НЕПРАВИЛЬНО! п.п.1.2.3. (в них: обуч.) не может быть меньше суммы ((п.п.2.1.5. а) (в них: обуч.)+п.п.2.1.5. в) (в них: чл. Профсоюза))!")</f>
        <v>0</v>
      </c>
    </row>
    <row r="32" spans="1:7" ht="15.75" thickBot="1">
      <c r="A32" s="164" t="s">
        <v>85</v>
      </c>
      <c r="B32" s="165" t="s">
        <v>86</v>
      </c>
      <c r="C32" s="7"/>
      <c r="D32" s="45">
        <v>0</v>
      </c>
      <c r="E32" s="6">
        <f t="shared" si="2"/>
        <v>1</v>
      </c>
      <c r="F32" s="67" t="str">
        <f>IF(E32=1," ","Не заполнено")</f>
        <v> </v>
      </c>
      <c r="G32" s="117">
        <f>IF(D32-D15&lt;=0,,"'НЕПРАВИЛЬНО! п.п.1.2.3. в т.ч. не может быть больше п.п.1.1.3. в т.ч. !")</f>
        <v>0</v>
      </c>
    </row>
    <row r="33" spans="1:7" ht="15">
      <c r="A33" s="53"/>
      <c r="B33" s="29" t="s">
        <v>26</v>
      </c>
      <c r="C33" s="58"/>
      <c r="D33" s="46">
        <v>0</v>
      </c>
      <c r="E33" s="6">
        <f t="shared" si="2"/>
        <v>1</v>
      </c>
      <c r="F33" s="67" t="str">
        <f>IF(E33=1," ","Не заполнено")</f>
        <v> </v>
      </c>
      <c r="G33" s="117">
        <f>IF(D33-(D78+D83)&gt;=0,,"'НЕПРАВИЛЬНО! п.п.1.2.3. (в них: работающих) не может быть меньше суммы ((п.п.2.1.5. а) (в них: чл. Профсоюза работающих)+п.п.2.1.5. б) (в них: чл. Профсоюза))!")</f>
        <v>0</v>
      </c>
    </row>
    <row r="34" spans="1:7" ht="15">
      <c r="A34" s="53"/>
      <c r="B34" s="29" t="s">
        <v>134</v>
      </c>
      <c r="C34" s="58"/>
      <c r="D34" s="47">
        <v>0</v>
      </c>
      <c r="E34" s="6">
        <f t="shared" si="2"/>
        <v>1</v>
      </c>
      <c r="F34" s="67" t="str">
        <f>IF(E34=1," ","Не заполнено")</f>
        <v> </v>
      </c>
      <c r="G34" s="117">
        <f>IF(D34-(D79+D84)&gt;=0,,"'НЕПРАВИЛЬНО! п.п.1.2.3. (в т.ч. пед. работников) не может быть меньше суммы ((п.п.2.1.5. а) (в т.ч. пед. работников)+п.п.2.1.5. б) (в т.ч. пед. работников))!")</f>
        <v>0</v>
      </c>
    </row>
    <row r="35" spans="1:7" ht="15">
      <c r="A35" s="53"/>
      <c r="B35" s="9" t="s">
        <v>129</v>
      </c>
      <c r="C35" s="58"/>
      <c r="D35" s="48">
        <v>0</v>
      </c>
      <c r="E35" s="6">
        <f t="shared" si="2"/>
        <v>1</v>
      </c>
      <c r="F35" s="67" t="str">
        <f>IF(E35=1," ","Не заполнено")</f>
        <v> </v>
      </c>
      <c r="G35" s="117">
        <f>IF(D35-(D80+D85)&gt;=0,,"'НЕПРАВИЛЬНО! п.п.1.2.3. (из них: молодежи из пед. раб.) не может быть меньше суммы ((п.п.2.1.5. а) из них: молодежи из пед. раб.)+п.п.2.1.5. б) (из них: молодежи из пед.раб.))!")</f>
        <v>0</v>
      </c>
    </row>
    <row r="36" spans="1:7" ht="15.75" thickBot="1">
      <c r="A36" s="101"/>
      <c r="B36" s="34" t="s">
        <v>169</v>
      </c>
      <c r="C36" s="59"/>
      <c r="D36" s="48">
        <v>0</v>
      </c>
      <c r="E36" s="6">
        <f t="shared" si="2"/>
        <v>1</v>
      </c>
      <c r="F36" s="67" t="str">
        <f>IF(E36=1," ","Не заполнено")</f>
        <v> </v>
      </c>
      <c r="G36" s="117">
        <f>IF(D36-(D81+D87)&gt;=0,,"'НЕПРАВИЛЬНО! п.п.1.2.3. (в них: обуч.) не может быть меньше суммы ((п.п.2.1.5. а) (в них: обуч.)+п.п.2.1.5. в) (в них: чл. Профсоюза))!")</f>
        <v>0</v>
      </c>
    </row>
    <row r="37" spans="1:7" ht="17.25" thickBot="1">
      <c r="A37" s="101" t="s">
        <v>142</v>
      </c>
      <c r="B37" s="100" t="s">
        <v>188</v>
      </c>
      <c r="C37" s="7"/>
      <c r="D37" s="45">
        <v>2</v>
      </c>
      <c r="E37" s="6">
        <f t="shared" si="0"/>
        <v>1</v>
      </c>
      <c r="F37" s="67" t="str">
        <f t="shared" si="1"/>
        <v> </v>
      </c>
      <c r="G37" s="117">
        <f>IF(D37-D16&lt;=0,,"'НЕПРАВИЛЬНО! п.п.1.2.4. не может быть больше п.п.1.1.4. !")</f>
        <v>0</v>
      </c>
    </row>
    <row r="38" spans="1:7" ht="15">
      <c r="A38" s="53"/>
      <c r="B38" s="9" t="s">
        <v>27</v>
      </c>
      <c r="C38" s="58"/>
      <c r="D38" s="46">
        <v>52</v>
      </c>
      <c r="E38" s="6">
        <f t="shared" si="0"/>
        <v>1</v>
      </c>
      <c r="F38" s="67" t="str">
        <f t="shared" si="1"/>
        <v> </v>
      </c>
      <c r="G38" s="117">
        <f>IF(D38-D89&gt;=0,,"'НЕПРАВИЛЬНО! п.п.1.2.5. (в них: работающих) не может быть меньше п.п.2.1.6. (в них: чл. Профсоюза)!")</f>
        <v>0</v>
      </c>
    </row>
    <row r="39" spans="1:7" ht="15">
      <c r="A39" s="53"/>
      <c r="B39" s="9" t="s">
        <v>134</v>
      </c>
      <c r="C39" s="58"/>
      <c r="D39" s="47">
        <v>19</v>
      </c>
      <c r="E39" s="6">
        <f t="shared" si="0"/>
        <v>1</v>
      </c>
      <c r="F39" s="67" t="str">
        <f t="shared" si="1"/>
        <v> </v>
      </c>
      <c r="G39" s="117">
        <f>IF(D39-D90&gt;=0,,"'НЕПРАВИЛЬНО! п.п.1.2.4. (в т.ч.: пед. работников) не может быть меньше п.п.2.1.6. (в т.ч.: пед. работников)!")</f>
        <v>0</v>
      </c>
    </row>
    <row r="40" spans="1:7" ht="15.75" thickBot="1">
      <c r="A40" s="53"/>
      <c r="B40" s="9" t="s">
        <v>129</v>
      </c>
      <c r="C40" s="58"/>
      <c r="D40" s="48">
        <v>3</v>
      </c>
      <c r="E40" s="6">
        <f>COUNTA(D40)</f>
        <v>1</v>
      </c>
      <c r="F40" s="67" t="str">
        <f t="shared" si="1"/>
        <v> </v>
      </c>
      <c r="G40" s="117">
        <f>IF(D40-D91&gt;=0,,"'НЕПРАВИЛЬНО! п.п.1.2.4. (из них: молодежи из пед. раб.) не может быть меньше п.п.2.1.6. (из них: молодежи из пед. раб.)!")</f>
        <v>0</v>
      </c>
    </row>
    <row r="41" spans="1:6" s="12" customFormat="1" ht="15" customHeight="1" thickBot="1">
      <c r="A41" s="101" t="s">
        <v>7</v>
      </c>
      <c r="B41" s="100" t="s">
        <v>170</v>
      </c>
      <c r="C41" s="14"/>
      <c r="D41" s="45">
        <v>1</v>
      </c>
      <c r="E41" s="6">
        <f t="shared" si="0"/>
        <v>1</v>
      </c>
      <c r="F41" s="67" t="str">
        <f t="shared" si="1"/>
        <v> </v>
      </c>
    </row>
    <row r="42" spans="1:7" ht="15">
      <c r="A42" s="53"/>
      <c r="B42" s="9" t="s">
        <v>69</v>
      </c>
      <c r="C42" s="61"/>
      <c r="D42" s="44">
        <v>8</v>
      </c>
      <c r="E42" s="6">
        <f t="shared" si="0"/>
        <v>1</v>
      </c>
      <c r="F42" s="67" t="str">
        <f t="shared" si="1"/>
        <v> </v>
      </c>
      <c r="G42" s="117">
        <f>IF(D42-D93&gt;=0,,"'НЕПРАВИЛЬНО! п.п.1.2.5. (в них: работающих) не может быть меньше п.п.2.1.7. (в них: чл. Профсоюза работающих)!")</f>
        <v>0</v>
      </c>
    </row>
    <row r="43" spans="1:9" ht="15">
      <c r="A43" s="53"/>
      <c r="B43" s="9" t="s">
        <v>134</v>
      </c>
      <c r="C43" s="136"/>
      <c r="D43" s="40">
        <v>0</v>
      </c>
      <c r="E43" s="6">
        <f t="shared" si="0"/>
        <v>1</v>
      </c>
      <c r="F43" s="67" t="str">
        <f t="shared" si="1"/>
        <v> </v>
      </c>
      <c r="G43" s="117">
        <f>IF(D43-D94&gt;=0,,"'НЕПРАВИЛЬНО! п.п.1.2.5. (в т.ч.: пед. работников) не может быть меньше п.п.2.1.7. (в т.ч.: пед. работников)!")</f>
        <v>0</v>
      </c>
      <c r="I43"/>
    </row>
    <row r="44" spans="1:9" ht="15.75" thickBot="1">
      <c r="A44" s="53"/>
      <c r="B44" s="9" t="s">
        <v>129</v>
      </c>
      <c r="C44" s="136"/>
      <c r="D44" s="41">
        <v>0</v>
      </c>
      <c r="E44" s="6">
        <f t="shared" si="0"/>
        <v>1</v>
      </c>
      <c r="F44" s="67" t="str">
        <f t="shared" si="1"/>
        <v> </v>
      </c>
      <c r="G44" s="117">
        <f>IF(D44-D95&gt;=0,,"'НЕПРАВИЛЬНО! п.п.1.2.5. (из них: молодежи из пед. раб.) не может быть меньше п.п.2.1.7. (из них: молодежи из рпед. раб.)!")</f>
        <v>0</v>
      </c>
      <c r="I44"/>
    </row>
    <row r="45" spans="1:6" ht="15.75" customHeight="1" thickBot="1">
      <c r="A45" s="129" t="s">
        <v>143</v>
      </c>
      <c r="B45" s="100" t="s">
        <v>147</v>
      </c>
      <c r="C45" s="126"/>
      <c r="D45" s="20">
        <f>D20+D24+D28+D38+D42</f>
        <v>573</v>
      </c>
      <c r="E45" s="6"/>
      <c r="F45" s="67"/>
    </row>
    <row r="46" spans="1:6" ht="13.5" customHeight="1">
      <c r="A46" s="101"/>
      <c r="B46" s="9" t="s">
        <v>134</v>
      </c>
      <c r="C46" s="58"/>
      <c r="D46" s="37">
        <f>D21+D25+D29+D39+D43</f>
        <v>293</v>
      </c>
      <c r="E46" s="6"/>
      <c r="F46" s="67"/>
    </row>
    <row r="47" spans="1:6" ht="13.5" customHeight="1" thickBot="1">
      <c r="A47" s="101"/>
      <c r="B47" s="9" t="s">
        <v>129</v>
      </c>
      <c r="C47" s="58"/>
      <c r="D47" s="37">
        <f>D22+D26+D30+D40+D44</f>
        <v>70</v>
      </c>
      <c r="E47" s="6"/>
      <c r="F47" s="67"/>
    </row>
    <row r="48" spans="1:6" ht="13.5" customHeight="1" thickBot="1">
      <c r="A48" s="133" t="s">
        <v>144</v>
      </c>
      <c r="B48" s="112" t="s">
        <v>159</v>
      </c>
      <c r="C48" s="57"/>
      <c r="D48" s="72">
        <f>D31</f>
        <v>0</v>
      </c>
      <c r="E48"/>
      <c r="F48" s="67"/>
    </row>
    <row r="49" spans="1:6" ht="19.5" thickBot="1">
      <c r="A49" s="110" t="s">
        <v>8</v>
      </c>
      <c r="B49" s="111" t="s">
        <v>9</v>
      </c>
      <c r="C49" s="104"/>
      <c r="D49" s="86" t="s">
        <v>25</v>
      </c>
      <c r="E49"/>
      <c r="F49" s="67"/>
    </row>
    <row r="50" spans="1:7" ht="16.5" thickBot="1">
      <c r="A50" s="131" t="s">
        <v>148</v>
      </c>
      <c r="B50" s="112" t="s">
        <v>87</v>
      </c>
      <c r="C50" s="49" t="s">
        <v>2</v>
      </c>
      <c r="D50" s="20">
        <f>D54+D58+D62+D88+D92</f>
        <v>18</v>
      </c>
      <c r="E50"/>
      <c r="F50" s="67"/>
      <c r="G50" s="68">
        <f>IF(D50-D119=0,,"'НЕПРАВИЛЬНО! НЕ РАВНО п.п.3.1.1.1.!")</f>
        <v>0</v>
      </c>
    </row>
    <row r="51" spans="1:7" s="79" customFormat="1" ht="15">
      <c r="A51" s="101" t="s">
        <v>10</v>
      </c>
      <c r="B51" s="9" t="s">
        <v>171</v>
      </c>
      <c r="C51" s="82"/>
      <c r="D51" s="43">
        <v>0</v>
      </c>
      <c r="E51" s="78">
        <f aca="true" t="shared" si="3" ref="E51:E61">COUNTA(D51)</f>
        <v>1</v>
      </c>
      <c r="F51" s="67" t="str">
        <f aca="true" t="shared" si="4" ref="F51:F61">IF(E51=1," ","Не заполнено")</f>
        <v> </v>
      </c>
      <c r="G51" s="68">
        <f>IF(D51-D125=0,,"'НЕПРАВИЛЬНО! НЕ РАВНО п.п.3.1.1.7.!")</f>
        <v>0</v>
      </c>
    </row>
    <row r="52" spans="1:7" s="79" customFormat="1" ht="15.75" thickBot="1">
      <c r="A52" s="77"/>
      <c r="B52" s="152" t="s">
        <v>70</v>
      </c>
      <c r="C52" s="82"/>
      <c r="D52" s="41">
        <v>0</v>
      </c>
      <c r="E52" s="78">
        <f t="shared" si="3"/>
        <v>1</v>
      </c>
      <c r="F52" s="67" t="str">
        <f t="shared" si="4"/>
        <v> </v>
      </c>
      <c r="G52" s="68">
        <f>IF(D52-D127=0,,"'НЕПРАВИЛЬНО! НЕ РАВНО п.3.1.1.9.!")</f>
        <v>0</v>
      </c>
    </row>
    <row r="53" spans="1:6" ht="15.75" thickBot="1">
      <c r="A53" s="101" t="s">
        <v>47</v>
      </c>
      <c r="B53" s="13" t="s">
        <v>172</v>
      </c>
      <c r="C53" s="32"/>
      <c r="D53" s="45">
        <v>1</v>
      </c>
      <c r="E53" s="78">
        <f t="shared" si="3"/>
        <v>1</v>
      </c>
      <c r="F53" s="67" t="str">
        <f t="shared" si="4"/>
        <v> </v>
      </c>
    </row>
    <row r="54" spans="1:6" ht="17.25" thickBot="1">
      <c r="A54" s="101" t="s">
        <v>49</v>
      </c>
      <c r="B54" s="100" t="s">
        <v>35</v>
      </c>
      <c r="C54" s="33"/>
      <c r="D54" s="45">
        <v>12</v>
      </c>
      <c r="E54" s="6">
        <f t="shared" si="3"/>
        <v>1</v>
      </c>
      <c r="F54" s="67" t="str">
        <f t="shared" si="4"/>
        <v> </v>
      </c>
    </row>
    <row r="55" spans="1:7" ht="15">
      <c r="A55" s="53"/>
      <c r="B55" s="9" t="s">
        <v>135</v>
      </c>
      <c r="C55" s="16"/>
      <c r="D55" s="43">
        <v>240</v>
      </c>
      <c r="E55" s="6">
        <f t="shared" si="3"/>
        <v>1</v>
      </c>
      <c r="F55" s="67" t="str">
        <f t="shared" si="4"/>
        <v> </v>
      </c>
      <c r="G55" s="117">
        <f>IF(D55-D20&lt;=0,,"'НЕПРАВИЛЬНО! п.п.2.1.3. (в них: чл. Профсоюза) не может быть больше п.п.1.2.1. (в них: работающих)!")</f>
        <v>0</v>
      </c>
    </row>
    <row r="56" spans="1:8" ht="15">
      <c r="A56" s="53"/>
      <c r="B56" s="9" t="s">
        <v>134</v>
      </c>
      <c r="C56" s="83"/>
      <c r="D56" s="40">
        <v>160</v>
      </c>
      <c r="E56" s="6">
        <f t="shared" si="3"/>
        <v>1</v>
      </c>
      <c r="F56" s="67" t="str">
        <f t="shared" si="4"/>
        <v> </v>
      </c>
      <c r="G56" s="117">
        <f>IF(D56-D21&lt;=0,,"'НЕПРАВИЛЬНО! п.п.2.1.3. (в т.ч.: пед. работников) не может быть больше п.п.1.2.1. (в т.ч.: пед. работников)!")</f>
        <v>0</v>
      </c>
      <c r="H56" s="62"/>
    </row>
    <row r="57" spans="1:7" ht="15.75" thickBot="1">
      <c r="A57" s="53"/>
      <c r="B57" s="9" t="s">
        <v>129</v>
      </c>
      <c r="C57" s="17"/>
      <c r="D57" s="42">
        <v>40</v>
      </c>
      <c r="E57" s="6">
        <f>COUNTA(D57)</f>
        <v>1</v>
      </c>
      <c r="F57" s="67" t="str">
        <f t="shared" si="4"/>
        <v> </v>
      </c>
      <c r="G57" s="117">
        <f>IF(D57-D22&lt;=0,,"'НЕПРАВИЛЬНО! п.п.2.1.3. (из них: молодежи из пед. раб.) не может быть больше п.п.1.2.1. (из них: молодежи из пед. раб.)!")</f>
        <v>0</v>
      </c>
    </row>
    <row r="58" spans="1:6" ht="17.25" thickBot="1">
      <c r="A58" s="101" t="s">
        <v>11</v>
      </c>
      <c r="B58" s="100" t="s">
        <v>40</v>
      </c>
      <c r="C58" s="69"/>
      <c r="D58" s="45">
        <v>3</v>
      </c>
      <c r="E58" s="6">
        <f t="shared" si="3"/>
        <v>1</v>
      </c>
      <c r="F58" s="67" t="str">
        <f t="shared" si="4"/>
        <v> </v>
      </c>
    </row>
    <row r="59" spans="1:7" ht="15">
      <c r="A59" s="53"/>
      <c r="B59" s="9" t="s">
        <v>136</v>
      </c>
      <c r="C59" s="18"/>
      <c r="D59" s="43">
        <v>92</v>
      </c>
      <c r="E59" s="6">
        <f t="shared" si="3"/>
        <v>1</v>
      </c>
      <c r="F59" s="67" t="str">
        <f t="shared" si="4"/>
        <v> </v>
      </c>
      <c r="G59" s="117">
        <f>IF(D59-D24&lt;=0,,"'НЕПРАВИЛЬНО! п.п.2.1.4. (в них: чл. Профсоюза) не может быть больше п.п.1.2.2. (в них: работающих)!")</f>
        <v>0</v>
      </c>
    </row>
    <row r="60" spans="1:7" ht="15">
      <c r="A60" s="53"/>
      <c r="B60" s="9" t="s">
        <v>134</v>
      </c>
      <c r="C60" s="19"/>
      <c r="D60" s="40">
        <v>40</v>
      </c>
      <c r="E60" s="6">
        <f t="shared" si="3"/>
        <v>1</v>
      </c>
      <c r="F60" s="67" t="str">
        <f t="shared" si="4"/>
        <v> </v>
      </c>
      <c r="G60" s="117">
        <f>IF(D60-D25&lt;=0,,"'НЕПРАВИЛЬНО! п.п.2.1.4. (в т.ч.: пед. работников) не может быть больше п.п.1.2.2. (в т.ч.: пед. работников)!")</f>
        <v>0</v>
      </c>
    </row>
    <row r="61" spans="1:7" ht="15.75" thickBot="1">
      <c r="A61" s="75"/>
      <c r="B61" s="9" t="s">
        <v>129</v>
      </c>
      <c r="C61" s="50"/>
      <c r="D61" s="40">
        <v>15</v>
      </c>
      <c r="E61" s="6">
        <f t="shared" si="3"/>
        <v>1</v>
      </c>
      <c r="F61" s="67" t="str">
        <f t="shared" si="4"/>
        <v> </v>
      </c>
      <c r="G61" s="117">
        <f>IF(D61-D26&lt;=0,,"'НЕПРАВИЛЬНО! п.п.2.1.4. (из них: молодежи из пед. раб.) не может быть больше п.п.1.2.2. (из них: молодежи из пед. раб.)!")</f>
        <v>0</v>
      </c>
    </row>
    <row r="62" spans="1:7" ht="17.25" thickBot="1">
      <c r="A62" s="101" t="s">
        <v>12</v>
      </c>
      <c r="B62" s="100" t="s">
        <v>190</v>
      </c>
      <c r="C62" s="7" t="s">
        <v>2</v>
      </c>
      <c r="D62" s="20">
        <f>D64+D69+D73</f>
        <v>0</v>
      </c>
      <c r="E62" s="6"/>
      <c r="F62" s="67"/>
      <c r="G62" s="147"/>
    </row>
    <row r="63" spans="1:6" ht="15.75" thickBot="1">
      <c r="A63" s="53"/>
      <c r="B63" s="9" t="s">
        <v>191</v>
      </c>
      <c r="C63" s="124"/>
      <c r="D63" s="125" t="s">
        <v>25</v>
      </c>
      <c r="E63" s="6"/>
      <c r="F63" s="67"/>
    </row>
    <row r="64" spans="1:6" ht="17.25" thickBot="1">
      <c r="A64" s="53"/>
      <c r="B64" s="100" t="s">
        <v>71</v>
      </c>
      <c r="C64" s="25"/>
      <c r="D64" s="45">
        <v>0</v>
      </c>
      <c r="E64" s="6">
        <f>COUNTA(D64)</f>
        <v>1</v>
      </c>
      <c r="F64" s="67" t="str">
        <f aca="true" t="shared" si="5" ref="F64:F95">IF(E64=1," ","Не заполнено")</f>
        <v> </v>
      </c>
    </row>
    <row r="65" spans="1:7" ht="15">
      <c r="A65" s="53"/>
      <c r="B65" s="9" t="s">
        <v>50</v>
      </c>
      <c r="C65" s="16"/>
      <c r="D65" s="43">
        <v>0</v>
      </c>
      <c r="E65" s="6">
        <f>COUNTA(D65)</f>
        <v>1</v>
      </c>
      <c r="F65" s="67" t="str">
        <f t="shared" si="5"/>
        <v> </v>
      </c>
      <c r="G65" s="117">
        <f>IF((D65+D70)-D28&lt;=0,,"'НЕПРАВИЛЬНО! Cумма ((п.п.2.1.5. а) (в них: чл. Профсоюза работающих)+п.п.2.1.5. б) (в них: чл. Профсоюза)) не может быть больше п.п.1.2.3. (в них: работающих)!)")</f>
        <v>0</v>
      </c>
    </row>
    <row r="66" spans="1:7" ht="15">
      <c r="A66" s="53"/>
      <c r="B66" s="9" t="s">
        <v>134</v>
      </c>
      <c r="C66" s="16"/>
      <c r="D66" s="40">
        <v>0</v>
      </c>
      <c r="E66" s="6">
        <f aca="true" t="shared" si="6" ref="E66:E95">COUNTA(D66)</f>
        <v>1</v>
      </c>
      <c r="F66" s="67" t="str">
        <f t="shared" si="5"/>
        <v> </v>
      </c>
      <c r="G66" s="117">
        <f>IF((D66+D71)-D29&lt;=0,,"'НЕПРАВИЛЬНО! Cумма ((п.п.2.1.5. а) (в т.ч.: пед. работников)+п.п.2.1.5. б) (в т.ч.: пед. работников)) не может быть больше п.п.1.2.3. (в т.ч.: пед. работников)!)")</f>
        <v>0</v>
      </c>
    </row>
    <row r="67" spans="1:7" ht="15">
      <c r="A67" s="53"/>
      <c r="B67" s="9" t="s">
        <v>129</v>
      </c>
      <c r="C67" s="16"/>
      <c r="D67" s="40">
        <v>0</v>
      </c>
      <c r="E67" s="6">
        <f>COUNTA(D67)</f>
        <v>1</v>
      </c>
      <c r="F67" s="67" t="str">
        <f t="shared" si="5"/>
        <v> </v>
      </c>
      <c r="G67" s="117">
        <f>IF((D67+D72)-D30&lt;=0,,"'НЕПРАВИЛЬНО! Cумма ((п.п.2.1.5. а) (из них: молодежи из пед. раб.)+п.п.2.1.5. б) (из них: молодежи из пед. раб.) не может быть больше п.п.1.2.3. (из них: молодежи из пед. раб.)!)")</f>
        <v>0</v>
      </c>
    </row>
    <row r="68" spans="1:7" ht="15.75" thickBot="1">
      <c r="A68" s="53"/>
      <c r="B68" s="9" t="s">
        <v>131</v>
      </c>
      <c r="C68" s="16"/>
      <c r="D68" s="42">
        <v>0</v>
      </c>
      <c r="E68" s="6">
        <f t="shared" si="6"/>
        <v>1</v>
      </c>
      <c r="F68" s="67" t="str">
        <f t="shared" si="5"/>
        <v> </v>
      </c>
      <c r="G68" s="117">
        <f>IF((D68+D74)-D31&lt;=0,,"'НЕПРАВИЛЬНО! Cумма ((п.п.2.1.5. а) (в них.: обуч.)+п.п.2.1.5. в) (в них: чл. Профсоюза) не может быть больше п.п.1.2.3. (в них: обуч.)!")</f>
        <v>0</v>
      </c>
    </row>
    <row r="69" spans="1:6" ht="17.25" thickBot="1">
      <c r="A69" s="53"/>
      <c r="B69" s="100" t="s">
        <v>65</v>
      </c>
      <c r="C69" s="15"/>
      <c r="D69" s="45">
        <v>0</v>
      </c>
      <c r="E69" s="6">
        <f t="shared" si="6"/>
        <v>1</v>
      </c>
      <c r="F69" s="67" t="str">
        <f t="shared" si="5"/>
        <v> </v>
      </c>
    </row>
    <row r="70" spans="1:9" ht="15">
      <c r="A70" s="53"/>
      <c r="B70" s="9" t="s">
        <v>137</v>
      </c>
      <c r="C70" s="16"/>
      <c r="D70" s="43">
        <v>0</v>
      </c>
      <c r="E70" s="6">
        <f t="shared" si="6"/>
        <v>1</v>
      </c>
      <c r="F70" s="67" t="str">
        <f t="shared" si="5"/>
        <v> </v>
      </c>
      <c r="G70" s="117">
        <f>IF((D70+D65)-D28&lt;=0,,"'НЕПРАВИЛЬНО! Cумма ((п.п.2.1.5. б) (в них: чл. Профсоюза)+п.п.2.1.5. а) (в них: чл. Профсоюза работающих) не может быть больше п.п.1.2.3.(в них: работающих)!)")</f>
        <v>0</v>
      </c>
      <c r="I70"/>
    </row>
    <row r="71" spans="1:9" ht="15">
      <c r="A71" s="53"/>
      <c r="B71" s="9" t="s">
        <v>134</v>
      </c>
      <c r="C71" s="15"/>
      <c r="D71" s="40">
        <v>0</v>
      </c>
      <c r="E71" s="6">
        <f t="shared" si="6"/>
        <v>1</v>
      </c>
      <c r="F71" s="67" t="str">
        <f t="shared" si="5"/>
        <v> </v>
      </c>
      <c r="G71" s="117">
        <f>IF((D71+D66)-D29&lt;=0,,"'НЕПРАВИЛЬНО! Cумма ((п.п.2.1.5. б) (в т.ч.: пед. работников)+п.п.2.1.5. а) (в т.ч.: пед. работников) не может быть больше п.п.1.2.3. (в т.ч.: пед. работников)!)")</f>
        <v>0</v>
      </c>
      <c r="I71"/>
    </row>
    <row r="72" spans="1:9" ht="15.75" thickBot="1">
      <c r="A72" s="53"/>
      <c r="B72" s="9" t="s">
        <v>129</v>
      </c>
      <c r="C72" s="16"/>
      <c r="D72" s="40">
        <v>0</v>
      </c>
      <c r="E72" s="6">
        <f>COUNTA(D72)</f>
        <v>1</v>
      </c>
      <c r="F72" s="67" t="str">
        <f t="shared" si="5"/>
        <v> </v>
      </c>
      <c r="G72" s="117">
        <f>IF((D72+D67)-D30&lt;=0,,"'НЕПРАВИЛЬНО! Cумма ((п.п.2.1.5. б) (из них: молодежи из пед. раб.)+п.п.2.1.5. а) (из них: молодежи из пед. раб.)) не может быть больше п.п.1.2.3. (из них: молодежи из пед. раб.)!)")</f>
        <v>0</v>
      </c>
      <c r="I72"/>
    </row>
    <row r="73" spans="1:6" ht="17.25" thickBot="1">
      <c r="A73" s="53"/>
      <c r="B73" s="100" t="s">
        <v>64</v>
      </c>
      <c r="C73" s="25"/>
      <c r="D73" s="45">
        <v>0</v>
      </c>
      <c r="E73" s="6">
        <f t="shared" si="6"/>
        <v>1</v>
      </c>
      <c r="F73" s="67" t="str">
        <f t="shared" si="5"/>
        <v> </v>
      </c>
    </row>
    <row r="74" spans="1:18" ht="15.75" thickBot="1">
      <c r="A74" s="53"/>
      <c r="B74" s="9" t="s">
        <v>74</v>
      </c>
      <c r="C74" s="15"/>
      <c r="D74" s="44">
        <v>0</v>
      </c>
      <c r="E74" s="6">
        <f t="shared" si="6"/>
        <v>1</v>
      </c>
      <c r="F74" s="67" t="str">
        <f t="shared" si="5"/>
        <v> </v>
      </c>
      <c r="G74" s="117">
        <f>IF((D74+D68)-D36&lt;=0,,"'НЕПРАВИЛЬНО! Cумма ((п.п.2.1.5. в) (в них: чл. Профсоюза)+п.п.2.1.5. а) (в них.: обуч.) не может быть больше п.п.1.2.3.(в них: обуч.)!")</f>
        <v>0</v>
      </c>
      <c r="R74"/>
    </row>
    <row r="75" spans="1:8" ht="16.5" thickBot="1">
      <c r="A75" s="164" t="s">
        <v>85</v>
      </c>
      <c r="B75" s="166" t="s">
        <v>197</v>
      </c>
      <c r="C75" s="33" t="s">
        <v>2</v>
      </c>
      <c r="D75" s="155">
        <f>SUM(D77+D82+D86)</f>
        <v>0</v>
      </c>
      <c r="E75"/>
      <c r="F75" s="67"/>
      <c r="G75" s="67"/>
      <c r="H75" s="117"/>
    </row>
    <row r="76" spans="1:8" ht="15.75" thickBot="1">
      <c r="A76" s="53"/>
      <c r="B76" s="9" t="s">
        <v>193</v>
      </c>
      <c r="C76" s="153"/>
      <c r="D76" s="125" t="s">
        <v>25</v>
      </c>
      <c r="E76"/>
      <c r="F76" s="6"/>
      <c r="G76" s="67"/>
      <c r="H76" s="117"/>
    </row>
    <row r="77" spans="1:8" ht="16.5" thickBot="1">
      <c r="A77" s="53"/>
      <c r="B77" s="36" t="s">
        <v>71</v>
      </c>
      <c r="C77" s="154"/>
      <c r="D77" s="168">
        <v>0</v>
      </c>
      <c r="E77" s="6">
        <f t="shared" si="6"/>
        <v>1</v>
      </c>
      <c r="F77" s="67" t="str">
        <f t="shared" si="5"/>
        <v> </v>
      </c>
      <c r="G77" s="67"/>
      <c r="H77" s="117"/>
    </row>
    <row r="78" spans="1:8" ht="15">
      <c r="A78" s="53"/>
      <c r="B78" s="9" t="s">
        <v>50</v>
      </c>
      <c r="C78" s="153"/>
      <c r="D78" s="158">
        <v>0</v>
      </c>
      <c r="E78" s="6">
        <f t="shared" si="6"/>
        <v>1</v>
      </c>
      <c r="F78" s="67" t="str">
        <f t="shared" si="5"/>
        <v> </v>
      </c>
      <c r="G78" s="117">
        <f>IF((D78+D83)-D33&lt;=0,,"'НЕПРАВИЛЬНО! Cумма ((п.п.2.1.5. а) (в них: чл.Профсоюза работающих)+п.п.2.1.5. б) (в них: чл. Профсоюза) не может быть больше п.п.1.2.3. (в них: работающих))!")</f>
        <v>0</v>
      </c>
      <c r="H78" s="117"/>
    </row>
    <row r="79" spans="1:8" ht="15">
      <c r="A79" s="53"/>
      <c r="B79" s="9" t="s">
        <v>134</v>
      </c>
      <c r="C79" s="153"/>
      <c r="D79" s="159">
        <v>0</v>
      </c>
      <c r="E79" s="6">
        <f t="shared" si="6"/>
        <v>1</v>
      </c>
      <c r="F79" s="67" t="str">
        <f t="shared" si="5"/>
        <v> </v>
      </c>
      <c r="G79" s="117">
        <f>IF((D79+D84)-D34&lt;=0,,"'НЕПРАВИЛЬНО! Сумма ((п.п.2.1.5. а) (в т.ч.: пед. работников)+п.п.2.1.5. б) (в т.ч.: пед. работников) не может быть больше п.п.1.2.3. (в т.ч.: пед. работников))!")</f>
        <v>0</v>
      </c>
      <c r="H79" s="117"/>
    </row>
    <row r="80" spans="1:8" ht="15">
      <c r="A80" s="53"/>
      <c r="B80" s="9" t="s">
        <v>129</v>
      </c>
      <c r="C80" s="153"/>
      <c r="D80" s="159">
        <v>0</v>
      </c>
      <c r="E80" s="6">
        <f t="shared" si="6"/>
        <v>1</v>
      </c>
      <c r="F80" s="67" t="str">
        <f t="shared" si="5"/>
        <v> </v>
      </c>
      <c r="G80" s="117">
        <f>IF((D80+D85)-D35&lt;=0,,"'НЕПРАВИЛЬНО! Сумма ((п.п.2.1.5. а) из них: молодежи из пед. раб.)+п.п.2.1.5. б) (из них: молодежи из пед.раб.) не может быть меньше п.п.1.2.3. (из них: молодежи из пед. раб.)!")</f>
        <v>0</v>
      </c>
      <c r="H80" s="117"/>
    </row>
    <row r="81" spans="1:8" ht="15.75" thickBot="1">
      <c r="A81" s="53"/>
      <c r="B81" s="9" t="s">
        <v>131</v>
      </c>
      <c r="C81" s="153"/>
      <c r="D81" s="160">
        <v>0</v>
      </c>
      <c r="E81" s="6">
        <f t="shared" si="6"/>
        <v>1</v>
      </c>
      <c r="F81" s="67" t="str">
        <f t="shared" si="5"/>
        <v> </v>
      </c>
      <c r="G81" s="117">
        <f>IF((D81+D87)-D36&lt;=0,,"'НЕПРАВИЛЬНО! Сумма ((п.п.2.1.5. а) (в них: обуч.)+п.п.2.1.5. в) (в них: чл. Профсоюза) не может быть больше п.п.1.2.3. (в них: обуч.)!")</f>
        <v>0</v>
      </c>
      <c r="H81" s="117"/>
    </row>
    <row r="82" spans="1:8" ht="16.5" thickBot="1">
      <c r="A82" s="53"/>
      <c r="B82" s="36" t="s">
        <v>65</v>
      </c>
      <c r="C82" s="154"/>
      <c r="D82" s="168">
        <v>0</v>
      </c>
      <c r="E82" s="6">
        <f t="shared" si="6"/>
        <v>1</v>
      </c>
      <c r="F82" s="67" t="str">
        <f t="shared" si="5"/>
        <v> </v>
      </c>
      <c r="G82" s="67"/>
      <c r="H82" s="117"/>
    </row>
    <row r="83" spans="1:8" ht="15">
      <c r="A83" s="53"/>
      <c r="B83" s="9" t="s">
        <v>137</v>
      </c>
      <c r="C83" s="153"/>
      <c r="D83" s="158">
        <v>0</v>
      </c>
      <c r="E83" s="6">
        <f t="shared" si="6"/>
        <v>1</v>
      </c>
      <c r="F83" s="67" t="str">
        <f t="shared" si="5"/>
        <v> </v>
      </c>
      <c r="G83" s="117">
        <f>IF((D83+D78)-D33&lt;=0,,"'НЕПРАВИЛЬНО! Cумма ((п.п.2.1.5. б) (в них: чл. Профсоюза работающих)+п.п.2.1.5. а) (в них: чл.Профсоюза) не может быть больше п.п.1.2.3. (в них: работающих))!")</f>
        <v>0</v>
      </c>
      <c r="H83" s="117"/>
    </row>
    <row r="84" spans="1:8" ht="15">
      <c r="A84" s="53"/>
      <c r="B84" s="9" t="s">
        <v>134</v>
      </c>
      <c r="C84" s="153"/>
      <c r="D84" s="159">
        <v>0</v>
      </c>
      <c r="E84" s="6">
        <f t="shared" si="6"/>
        <v>1</v>
      </c>
      <c r="F84" s="67" t="str">
        <f t="shared" si="5"/>
        <v> </v>
      </c>
      <c r="G84" s="117">
        <f>IF((D84+D79)-D34&lt;=0,,"'НЕПРАВИЛЬНО! Cумма ((п.п.2.1.5. б) (в т.ч.: пед. работников)+п.п.2.1.5. а) (в т.ч.: пед. работников) не может быть больше п.п.1.2.3. (в т.ч.: пед. работников))!")</f>
        <v>0</v>
      </c>
      <c r="H84" s="117"/>
    </row>
    <row r="85" spans="1:8" ht="15.75" thickBot="1">
      <c r="A85" s="53"/>
      <c r="B85" s="9" t="s">
        <v>129</v>
      </c>
      <c r="C85" s="153"/>
      <c r="D85" s="160">
        <v>0</v>
      </c>
      <c r="E85" s="6">
        <f t="shared" si="6"/>
        <v>1</v>
      </c>
      <c r="F85" s="67" t="str">
        <f t="shared" si="5"/>
        <v> </v>
      </c>
      <c r="G85" s="117">
        <f>IF((D85+D80)-D35&lt;=0,,"'НЕПРАВИЛЬНО! Cумма ((п.п.2.1.5. б) (из них: молодежи из пед. раб.)+п.п.2.1.5. а) (из них: молодежи из пед. раб.) не может быть больше п.п.1.2.3. (из них: молодежи из пед. раб.))!")</f>
        <v>0</v>
      </c>
      <c r="H85" s="117"/>
    </row>
    <row r="86" spans="1:8" ht="16.5" thickBot="1">
      <c r="A86" s="53"/>
      <c r="B86" s="36" t="s">
        <v>64</v>
      </c>
      <c r="C86" s="154"/>
      <c r="D86" s="157">
        <v>0</v>
      </c>
      <c r="E86" s="6">
        <f t="shared" si="6"/>
        <v>1</v>
      </c>
      <c r="F86" s="67" t="str">
        <f t="shared" si="5"/>
        <v> </v>
      </c>
      <c r="G86" s="67"/>
      <c r="H86" s="117"/>
    </row>
    <row r="87" spans="1:8" ht="15.75" thickBot="1">
      <c r="A87" s="53"/>
      <c r="B87" s="9" t="s">
        <v>74</v>
      </c>
      <c r="C87" s="153"/>
      <c r="D87" s="161">
        <v>0</v>
      </c>
      <c r="E87" s="6">
        <f t="shared" si="6"/>
        <v>1</v>
      </c>
      <c r="F87" s="67" t="str">
        <f t="shared" si="5"/>
        <v> </v>
      </c>
      <c r="G87" s="117">
        <f>IF((D87+D81)-D36&lt;=0,,"'НЕПРАВИЛЬНО! Сумма ((п.п.2.1.5. в) (в них: чл. Профсоюза)+п.п.2.1.5. а) (в них: обуч.)не может быть больше п.п.1.2.3. (в них: обуч.)!")</f>
        <v>0</v>
      </c>
      <c r="H87" s="117"/>
    </row>
    <row r="88" spans="1:6" ht="17.25" thickBot="1">
      <c r="A88" s="101" t="s">
        <v>14</v>
      </c>
      <c r="B88" s="100" t="s">
        <v>192</v>
      </c>
      <c r="C88" s="49"/>
      <c r="D88" s="45">
        <v>2</v>
      </c>
      <c r="E88" s="6">
        <f t="shared" si="6"/>
        <v>1</v>
      </c>
      <c r="F88" s="67" t="str">
        <f t="shared" si="5"/>
        <v> </v>
      </c>
    </row>
    <row r="89" spans="1:7" ht="15">
      <c r="A89" s="53"/>
      <c r="B89" s="9" t="s">
        <v>138</v>
      </c>
      <c r="C89" s="16"/>
      <c r="D89" s="40">
        <v>36</v>
      </c>
      <c r="E89" s="6">
        <f t="shared" si="6"/>
        <v>1</v>
      </c>
      <c r="F89" s="67" t="str">
        <f t="shared" si="5"/>
        <v> </v>
      </c>
      <c r="G89" s="117">
        <f>IF(D89-D38&lt;=0,,"'НЕПРАВИЛЬНО! п.п.2.1.6. (в них: чл. Профсоюза) не может быть больше п.п.1.2.4. (в них: работающих)!")</f>
        <v>0</v>
      </c>
    </row>
    <row r="90" spans="1:7" ht="15">
      <c r="A90" s="63"/>
      <c r="B90" s="9" t="s">
        <v>133</v>
      </c>
      <c r="C90" s="16"/>
      <c r="D90" s="43">
        <v>18</v>
      </c>
      <c r="E90" s="6">
        <f t="shared" si="6"/>
        <v>1</v>
      </c>
      <c r="F90" s="67" t="str">
        <f t="shared" si="5"/>
        <v> </v>
      </c>
      <c r="G90" s="117">
        <f>IF(D90-D39&lt;=0,,"'НЕПРАВИЛЬНО! п.п.2.1.6. (в т.ч.: пед. работников) не может быть больше  п.п.1.2.4. (в т.ч.: пед. работников)!")</f>
        <v>0</v>
      </c>
    </row>
    <row r="91" spans="1:7" ht="15.75" thickBot="1">
      <c r="A91" s="63"/>
      <c r="B91" s="9" t="s">
        <v>129</v>
      </c>
      <c r="C91" s="15"/>
      <c r="D91" s="40">
        <v>3</v>
      </c>
      <c r="E91" s="6">
        <f t="shared" si="6"/>
        <v>1</v>
      </c>
      <c r="F91" s="67" t="str">
        <f t="shared" si="5"/>
        <v> </v>
      </c>
      <c r="G91" s="117">
        <f>IF(D91-D40&lt;=0,,"'НЕПРАВИЛЬНО! п.п.2.1.6. (из них: молодежи из пед. раб.)  не может быть больше п.п.1.2.4. (из них: молодежи из пед. раб.)!")</f>
        <v>0</v>
      </c>
    </row>
    <row r="92" spans="1:6" ht="17.25" thickBot="1">
      <c r="A92" s="101" t="s">
        <v>15</v>
      </c>
      <c r="B92" s="100" t="s">
        <v>80</v>
      </c>
      <c r="C92" s="25"/>
      <c r="D92" s="45">
        <v>1</v>
      </c>
      <c r="E92" s="6">
        <f t="shared" si="6"/>
        <v>1</v>
      </c>
      <c r="F92" s="67" t="str">
        <f t="shared" si="5"/>
        <v> </v>
      </c>
    </row>
    <row r="93" spans="1:7" ht="15">
      <c r="A93" s="53"/>
      <c r="B93" s="9" t="s">
        <v>72</v>
      </c>
      <c r="C93" s="16"/>
      <c r="D93" s="146">
        <v>8</v>
      </c>
      <c r="E93" s="6">
        <f t="shared" si="6"/>
        <v>1</v>
      </c>
      <c r="F93" s="67" t="str">
        <f t="shared" si="5"/>
        <v> </v>
      </c>
      <c r="G93" s="117">
        <f>IF(D93-D42&lt;=0,,"'НЕПРАВИЛЬНО! п.п.2.1.7. ( в них: чл. Профсоюза работающих) не может быть больше п.п.1.2.5. (в них: работающих)!")</f>
        <v>0</v>
      </c>
    </row>
    <row r="94" spans="1:7" ht="15">
      <c r="A94" s="53"/>
      <c r="B94" s="9" t="s">
        <v>134</v>
      </c>
      <c r="C94" s="137"/>
      <c r="D94" s="40">
        <v>0</v>
      </c>
      <c r="E94" s="6">
        <f>COUNTA(D94)</f>
        <v>1</v>
      </c>
      <c r="F94" s="67" t="str">
        <f t="shared" si="5"/>
        <v> </v>
      </c>
      <c r="G94" s="117">
        <f>IF(D94-D43&lt;=0,,"'НЕПРАВИЛЬНО! п.п.2.1.7. (в т.ч.: пед. работников)  не может быть больше п.п.1.2.5. (в т.ч.: пед. работников)!")</f>
        <v>0</v>
      </c>
    </row>
    <row r="95" spans="1:7" ht="15.75" thickBot="1">
      <c r="A95" s="53"/>
      <c r="B95" s="9" t="s">
        <v>129</v>
      </c>
      <c r="C95" s="137"/>
      <c r="D95" s="41">
        <v>0</v>
      </c>
      <c r="E95" s="6">
        <f t="shared" si="6"/>
        <v>1</v>
      </c>
      <c r="F95" s="67" t="str">
        <f t="shared" si="5"/>
        <v> </v>
      </c>
      <c r="G95" s="117">
        <f>IF(D95-D44&lt;=0,,"'НЕПРАВИЛЬНО! п.п.2.1.7. (из них: молодежи из пед. раб.) не может быть больше п.п.1.2.5. (из них: молодежи из пед. раб.)!")</f>
        <v>0</v>
      </c>
    </row>
    <row r="96" spans="1:9" ht="17.25" thickBot="1">
      <c r="A96" s="101" t="s">
        <v>61</v>
      </c>
      <c r="B96" s="100" t="s">
        <v>41</v>
      </c>
      <c r="C96" s="35" t="s">
        <v>37</v>
      </c>
      <c r="D96" s="45">
        <v>0</v>
      </c>
      <c r="E96" s="6">
        <f>COUNTA(D96)</f>
        <v>1</v>
      </c>
      <c r="F96" s="67" t="str">
        <f>IF(E96=1," ","Не заполнено")</f>
        <v> </v>
      </c>
      <c r="H96" s="162"/>
      <c r="I96" s="138"/>
    </row>
    <row r="97" spans="1:7" ht="16.5" thickBot="1">
      <c r="A97" s="129" t="s">
        <v>16</v>
      </c>
      <c r="B97" s="132" t="s">
        <v>45</v>
      </c>
      <c r="C97" s="173" t="s">
        <v>2</v>
      </c>
      <c r="D97" s="20">
        <f>D99+D102+D103</f>
        <v>376</v>
      </c>
      <c r="E97" s="6"/>
      <c r="F97" s="67"/>
      <c r="G97" s="139"/>
    </row>
    <row r="98" spans="1:6" ht="15.75" thickBot="1">
      <c r="A98" s="53"/>
      <c r="B98" s="31" t="s">
        <v>17</v>
      </c>
      <c r="C98" s="11"/>
      <c r="D98" s="65" t="s">
        <v>25</v>
      </c>
      <c r="E98" s="6"/>
      <c r="F98" s="67"/>
    </row>
    <row r="99" spans="1:6" ht="17.25" thickBot="1">
      <c r="A99" s="101" t="s">
        <v>18</v>
      </c>
      <c r="B99" s="100" t="s">
        <v>31</v>
      </c>
      <c r="C99" s="25"/>
      <c r="D99" s="72">
        <f>D55+D59+D65+D70+D89+D93</f>
        <v>376</v>
      </c>
      <c r="E99" s="6"/>
      <c r="F99" s="67"/>
    </row>
    <row r="100" spans="1:9" ht="15.75" thickBot="1">
      <c r="A100" s="53"/>
      <c r="B100" s="34" t="s">
        <v>73</v>
      </c>
      <c r="C100" s="32"/>
      <c r="D100" s="150">
        <f>D56+D60+D66+D71+D90+D94</f>
        <v>218</v>
      </c>
      <c r="E100" s="6"/>
      <c r="F100" s="67"/>
      <c r="I100"/>
    </row>
    <row r="101" spans="1:9" ht="15.75" thickBot="1">
      <c r="A101" s="53"/>
      <c r="B101" s="9" t="s">
        <v>129</v>
      </c>
      <c r="C101" s="32"/>
      <c r="D101" s="150">
        <f>D57+D61+D67+D72+D91+D95</f>
        <v>58</v>
      </c>
      <c r="E101" s="6"/>
      <c r="F101" s="67"/>
      <c r="I101"/>
    </row>
    <row r="102" spans="1:6" ht="17.25" thickBot="1">
      <c r="A102" s="101" t="s">
        <v>30</v>
      </c>
      <c r="B102" s="100" t="s">
        <v>32</v>
      </c>
      <c r="C102" s="25"/>
      <c r="D102" s="20">
        <f>D68+D74</f>
        <v>0</v>
      </c>
      <c r="E102" s="6"/>
      <c r="F102" s="67"/>
    </row>
    <row r="103" spans="1:6" ht="13.5" customHeight="1" thickBot="1">
      <c r="A103" s="101" t="s">
        <v>33</v>
      </c>
      <c r="B103" s="100" t="s">
        <v>34</v>
      </c>
      <c r="C103" s="25"/>
      <c r="D103" s="45">
        <v>0</v>
      </c>
      <c r="E103" s="6">
        <f>COUNTA(D103)</f>
        <v>1</v>
      </c>
      <c r="F103" s="67" t="str">
        <f>IF(E103=1," ","Не заполнено")</f>
        <v> </v>
      </c>
    </row>
    <row r="104" spans="1:6" ht="16.5" thickBot="1">
      <c r="A104" s="131" t="s">
        <v>149</v>
      </c>
      <c r="B104" s="112" t="s">
        <v>42</v>
      </c>
      <c r="C104" s="16"/>
      <c r="D104" s="93" t="s">
        <v>25</v>
      </c>
      <c r="E104" s="6"/>
      <c r="F104" s="67"/>
    </row>
    <row r="105" spans="1:7" ht="17.25" thickBot="1">
      <c r="A105" s="101" t="s">
        <v>62</v>
      </c>
      <c r="B105" s="36" t="s">
        <v>125</v>
      </c>
      <c r="C105" s="25"/>
      <c r="D105" s="92">
        <f>(D99+D102)/(D45+D48)</f>
        <v>0.6561954624781849</v>
      </c>
      <c r="E105" s="6"/>
      <c r="F105" s="67"/>
      <c r="G105" s="68">
        <f>IF(D105&lt;=100%,0,"'НЕПРАВИЛЬНО! НЕ МОЖЕТ БЫТЬ больше 100%!")</f>
        <v>0</v>
      </c>
    </row>
    <row r="106" spans="1:6" ht="16.5" thickBot="1">
      <c r="A106" s="113" t="s">
        <v>150</v>
      </c>
      <c r="B106" s="112" t="s">
        <v>151</v>
      </c>
      <c r="C106" s="87"/>
      <c r="D106" s="86" t="s">
        <v>25</v>
      </c>
      <c r="E106" s="6"/>
      <c r="F106" s="67"/>
    </row>
    <row r="107" spans="1:7" ht="17.25" thickBot="1">
      <c r="A107" s="113" t="s">
        <v>75</v>
      </c>
      <c r="B107" s="36" t="s">
        <v>83</v>
      </c>
      <c r="C107" s="71"/>
      <c r="D107" s="70">
        <f>D99/D45</f>
        <v>0.6561954624781849</v>
      </c>
      <c r="E107" s="6"/>
      <c r="F107" s="67"/>
      <c r="G107" s="68">
        <f>IF(D107&lt;=100%,0,"'НЕПРАВИЛЬНО! НЕ МОЖЕТ БЫТЬ больше 100%!")</f>
        <v>0</v>
      </c>
    </row>
    <row r="108" spans="1:7" ht="17.25" thickBot="1">
      <c r="A108" s="114" t="s">
        <v>76</v>
      </c>
      <c r="B108" s="30" t="s">
        <v>84</v>
      </c>
      <c r="C108" s="71"/>
      <c r="D108" s="70" t="e">
        <f>D102/D48</f>
        <v>#DIV/0!</v>
      </c>
      <c r="E108" s="6"/>
      <c r="F108" s="67"/>
      <c r="G108" s="68" t="e">
        <f>IF(D108&lt;=100%,0,"'НЕПРАВИЛЬНО! НЕ МОЖЕТ БЫТЬ больше 100%!")</f>
        <v>#DIV/0!</v>
      </c>
    </row>
    <row r="109" spans="1:7" s="120" customFormat="1" ht="17.25" thickBot="1">
      <c r="A109" s="113" t="s">
        <v>128</v>
      </c>
      <c r="B109" s="145" t="s">
        <v>194</v>
      </c>
      <c r="C109" s="171"/>
      <c r="D109" s="70">
        <f>D101/D47</f>
        <v>0.8285714285714286</v>
      </c>
      <c r="E109" s="118"/>
      <c r="F109" s="119"/>
      <c r="G109" s="68">
        <f>IF(D109&lt;=100%,0,"'НЕПРАВИЛЬНО! НЕ МОЖЕТ БЫТЬ больше 100%!")</f>
        <v>0</v>
      </c>
    </row>
    <row r="110" spans="1:6" ht="16.5" thickBot="1">
      <c r="A110" s="131" t="s">
        <v>152</v>
      </c>
      <c r="B110" s="112" t="s">
        <v>43</v>
      </c>
      <c r="C110" s="33" t="s">
        <v>2</v>
      </c>
      <c r="D110" s="45">
        <v>78</v>
      </c>
      <c r="E110" s="6">
        <f aca="true" t="shared" si="7" ref="E110:E115">COUNTA(D110)</f>
        <v>1</v>
      </c>
      <c r="F110" s="67" t="str">
        <f aca="true" t="shared" si="8" ref="F110:F115">IF(E110=1," ","Не заполнено")</f>
        <v> </v>
      </c>
    </row>
    <row r="111" spans="1:6" ht="15.75" thickBot="1">
      <c r="A111" s="53"/>
      <c r="B111" s="9" t="s">
        <v>28</v>
      </c>
      <c r="C111" s="21"/>
      <c r="D111" s="44">
        <v>0</v>
      </c>
      <c r="E111" s="6">
        <f t="shared" si="7"/>
        <v>1</v>
      </c>
      <c r="F111" s="67" t="str">
        <f t="shared" si="8"/>
        <v> </v>
      </c>
    </row>
    <row r="112" spans="1:6" ht="16.5" thickBot="1">
      <c r="A112" s="131" t="s">
        <v>153</v>
      </c>
      <c r="B112" s="112" t="s">
        <v>198</v>
      </c>
      <c r="C112" s="33" t="s">
        <v>2</v>
      </c>
      <c r="D112" s="20">
        <f>SUM(D113+D114)</f>
        <v>12</v>
      </c>
      <c r="E112" s="6"/>
      <c r="F112" s="67"/>
    </row>
    <row r="113" spans="1:6" ht="15">
      <c r="A113" s="53"/>
      <c r="B113" s="9" t="s">
        <v>173</v>
      </c>
      <c r="C113" s="17"/>
      <c r="D113" s="43">
        <v>12</v>
      </c>
      <c r="E113" s="6">
        <f t="shared" si="7"/>
        <v>1</v>
      </c>
      <c r="F113" s="67" t="str">
        <f t="shared" si="8"/>
        <v> </v>
      </c>
    </row>
    <row r="114" spans="1:6" ht="15.75" thickBot="1">
      <c r="A114" s="53"/>
      <c r="B114" s="8" t="s">
        <v>160</v>
      </c>
      <c r="C114" s="142"/>
      <c r="D114" s="40">
        <v>0</v>
      </c>
      <c r="E114" s="6">
        <f t="shared" si="7"/>
        <v>1</v>
      </c>
      <c r="F114" s="67" t="str">
        <f t="shared" si="8"/>
        <v> </v>
      </c>
    </row>
    <row r="115" spans="1:6" ht="16.5" thickBot="1">
      <c r="A115" s="131" t="s">
        <v>154</v>
      </c>
      <c r="B115" s="112" t="s">
        <v>44</v>
      </c>
      <c r="C115" s="35" t="s">
        <v>2</v>
      </c>
      <c r="D115" s="103">
        <v>0</v>
      </c>
      <c r="E115" s="6">
        <f t="shared" si="7"/>
        <v>1</v>
      </c>
      <c r="F115" s="67" t="str">
        <f t="shared" si="8"/>
        <v> </v>
      </c>
    </row>
    <row r="116" spans="1:6" ht="19.5" thickBot="1">
      <c r="A116" s="115" t="s">
        <v>48</v>
      </c>
      <c r="B116" s="111" t="s">
        <v>20</v>
      </c>
      <c r="C116" s="106"/>
      <c r="D116" s="65" t="s">
        <v>25</v>
      </c>
      <c r="E116" s="6"/>
      <c r="F116" s="67"/>
    </row>
    <row r="117" spans="1:6" ht="16.5" thickBot="1">
      <c r="A117" s="129" t="s">
        <v>51</v>
      </c>
      <c r="B117" s="13" t="s">
        <v>155</v>
      </c>
      <c r="C117" s="105" t="s">
        <v>2</v>
      </c>
      <c r="D117" s="121">
        <f>D118+D128</f>
        <v>201</v>
      </c>
      <c r="E117" s="6"/>
      <c r="F117" s="67"/>
    </row>
    <row r="118" spans="1:6" ht="17.25" thickBot="1">
      <c r="A118" s="113" t="s">
        <v>56</v>
      </c>
      <c r="B118" s="100" t="s">
        <v>57</v>
      </c>
      <c r="C118" s="33" t="s">
        <v>2</v>
      </c>
      <c r="D118" s="88">
        <f>D119+D120+D121+D122+D123+D124+D125+D126+D127</f>
        <v>172</v>
      </c>
      <c r="E118" s="6"/>
      <c r="F118" s="67"/>
    </row>
    <row r="119" spans="1:7" ht="15">
      <c r="A119" s="101" t="s">
        <v>89</v>
      </c>
      <c r="B119" s="80" t="s">
        <v>114</v>
      </c>
      <c r="C119" s="16"/>
      <c r="D119" s="43">
        <v>18</v>
      </c>
      <c r="E119" s="6">
        <f aca="true" t="shared" si="9" ref="E119:E145">COUNTA(D119)</f>
        <v>1</v>
      </c>
      <c r="F119" s="67" t="str">
        <f aca="true" t="shared" si="10" ref="F119:F127">IF(E119=1," ","Не заполнено")</f>
        <v> </v>
      </c>
      <c r="G119" s="68">
        <f>IF(D50-D119=0,,"'НЕПРАВИЛЬНО! НЕ РАВНО п.2.1.!")</f>
        <v>0</v>
      </c>
    </row>
    <row r="120" spans="1:6" ht="15">
      <c r="A120" s="101" t="s">
        <v>97</v>
      </c>
      <c r="B120" s="80" t="s">
        <v>115</v>
      </c>
      <c r="C120" s="22"/>
      <c r="D120" s="40">
        <v>17</v>
      </c>
      <c r="E120" s="6">
        <f t="shared" si="9"/>
        <v>1</v>
      </c>
      <c r="F120" s="67" t="str">
        <f t="shared" si="10"/>
        <v> </v>
      </c>
    </row>
    <row r="121" spans="1:6" ht="15">
      <c r="A121" s="101" t="s">
        <v>96</v>
      </c>
      <c r="B121" s="80" t="s">
        <v>116</v>
      </c>
      <c r="C121" s="16"/>
      <c r="D121" s="40">
        <v>25</v>
      </c>
      <c r="E121" s="6">
        <f t="shared" si="9"/>
        <v>1</v>
      </c>
      <c r="F121" s="67" t="str">
        <f t="shared" si="10"/>
        <v> </v>
      </c>
    </row>
    <row r="122" spans="1:6" ht="15">
      <c r="A122" s="101" t="s">
        <v>95</v>
      </c>
      <c r="B122" s="80" t="s">
        <v>126</v>
      </c>
      <c r="C122" s="17"/>
      <c r="D122" s="42">
        <v>43</v>
      </c>
      <c r="E122" s="6">
        <f t="shared" si="9"/>
        <v>1</v>
      </c>
      <c r="F122" s="67" t="str">
        <f t="shared" si="10"/>
        <v> </v>
      </c>
    </row>
    <row r="123" spans="1:7" ht="15">
      <c r="A123" s="101" t="s">
        <v>94</v>
      </c>
      <c r="B123" s="80" t="s">
        <v>117</v>
      </c>
      <c r="C123" s="23"/>
      <c r="D123" s="40">
        <v>18</v>
      </c>
      <c r="E123" s="6">
        <f t="shared" si="9"/>
        <v>1</v>
      </c>
      <c r="F123" s="67" t="str">
        <f t="shared" si="10"/>
        <v> </v>
      </c>
      <c r="G123" s="143">
        <f>IF(D123-D50=0,,"'НЕПРАВИЛЬНО! НЕ РАВНО п.2.1.!")</f>
        <v>0</v>
      </c>
    </row>
    <row r="124" spans="1:6" ht="15">
      <c r="A124" s="101" t="s">
        <v>90</v>
      </c>
      <c r="B124" s="80" t="s">
        <v>118</v>
      </c>
      <c r="C124" s="16"/>
      <c r="D124" s="40">
        <v>51</v>
      </c>
      <c r="E124" s="6">
        <f t="shared" si="9"/>
        <v>1</v>
      </c>
      <c r="F124" s="67" t="str">
        <f t="shared" si="10"/>
        <v> </v>
      </c>
    </row>
    <row r="125" spans="1:7" ht="15">
      <c r="A125" s="101" t="s">
        <v>91</v>
      </c>
      <c r="B125" s="80" t="s">
        <v>119</v>
      </c>
      <c r="C125" s="22"/>
      <c r="D125" s="40">
        <v>0</v>
      </c>
      <c r="E125" s="6">
        <f t="shared" si="9"/>
        <v>1</v>
      </c>
      <c r="F125" s="67" t="str">
        <f t="shared" si="10"/>
        <v> </v>
      </c>
      <c r="G125" s="68">
        <f>IF(D125-D51=0,,"'НЕПРАВИЛЬНО! НЕ РАВНО п.п.2.1.1. (в них: - проф. орг. структурн. подразд.)!")</f>
        <v>0</v>
      </c>
    </row>
    <row r="126" spans="1:6" ht="15">
      <c r="A126" s="101" t="s">
        <v>93</v>
      </c>
      <c r="B126" s="80" t="s">
        <v>127</v>
      </c>
      <c r="C126" s="16"/>
      <c r="D126" s="40">
        <v>0</v>
      </c>
      <c r="E126" s="6">
        <f t="shared" si="9"/>
        <v>1</v>
      </c>
      <c r="F126" s="67" t="str">
        <f t="shared" si="10"/>
        <v> </v>
      </c>
    </row>
    <row r="127" spans="1:11" ht="15.75" thickBot="1">
      <c r="A127" s="101" t="s">
        <v>92</v>
      </c>
      <c r="B127" s="80" t="s">
        <v>120</v>
      </c>
      <c r="C127" s="16"/>
      <c r="D127" s="42">
        <v>0</v>
      </c>
      <c r="E127" s="6">
        <f t="shared" si="9"/>
        <v>1</v>
      </c>
      <c r="F127" s="67" t="str">
        <f t="shared" si="10"/>
        <v> </v>
      </c>
      <c r="G127" s="68">
        <f>IF(D127-D52=0,,"'НЕПРАВИЛЬНО! НЕ РАВНО п.п.2.1.1. (в них: - проф. групп)!")</f>
        <v>0</v>
      </c>
      <c r="H127" s="24"/>
      <c r="I127" s="24"/>
      <c r="J127" s="24"/>
      <c r="K127" s="24"/>
    </row>
    <row r="128" spans="1:11" ht="17.25" thickBot="1">
      <c r="A128" s="113" t="s">
        <v>88</v>
      </c>
      <c r="B128" s="100" t="s">
        <v>63</v>
      </c>
      <c r="C128" s="105" t="s">
        <v>2</v>
      </c>
      <c r="D128" s="74">
        <f>D129+D130+D131+D132+D133</f>
        <v>29</v>
      </c>
      <c r="E128" s="6"/>
      <c r="F128" s="67"/>
      <c r="G128" s="24"/>
      <c r="H128" s="24"/>
      <c r="I128" s="24"/>
      <c r="J128" s="24"/>
      <c r="K128" s="24"/>
    </row>
    <row r="129" spans="1:11" ht="15">
      <c r="A129" s="101" t="s">
        <v>98</v>
      </c>
      <c r="B129" s="80" t="s">
        <v>99</v>
      </c>
      <c r="C129" s="16"/>
      <c r="D129" s="43">
        <v>1</v>
      </c>
      <c r="E129" s="6">
        <f t="shared" si="9"/>
        <v>1</v>
      </c>
      <c r="F129" s="67" t="str">
        <f>IF(E129=1," ","Не заполнено")</f>
        <v> </v>
      </c>
      <c r="G129" s="24"/>
      <c r="H129" s="24"/>
      <c r="I129" s="24"/>
      <c r="J129" s="24"/>
      <c r="K129" s="24"/>
    </row>
    <row r="130" spans="1:11" ht="15">
      <c r="A130" s="101" t="s">
        <v>100</v>
      </c>
      <c r="B130" s="80" t="s">
        <v>121</v>
      </c>
      <c r="C130" s="16"/>
      <c r="D130" s="40">
        <v>1</v>
      </c>
      <c r="E130" s="6">
        <f t="shared" si="9"/>
        <v>1</v>
      </c>
      <c r="F130" s="67" t="str">
        <f>IF(E130=1," ","Не заполнено")</f>
        <v> </v>
      </c>
      <c r="G130" s="24"/>
      <c r="H130" s="24"/>
      <c r="I130" s="24"/>
      <c r="J130" s="24"/>
      <c r="K130" s="24"/>
    </row>
    <row r="131" spans="1:11" ht="15">
      <c r="A131" s="101" t="s">
        <v>101</v>
      </c>
      <c r="B131" s="80" t="s">
        <v>122</v>
      </c>
      <c r="C131" s="16"/>
      <c r="D131" s="40">
        <v>12</v>
      </c>
      <c r="E131" s="6">
        <f t="shared" si="9"/>
        <v>1</v>
      </c>
      <c r="F131" s="67" t="str">
        <f>IF(E131=1," ","Не заполнено")</f>
        <v> </v>
      </c>
      <c r="G131" s="24"/>
      <c r="H131" s="24"/>
      <c r="I131" s="24"/>
      <c r="J131" s="24"/>
      <c r="K131" s="24"/>
    </row>
    <row r="132" spans="1:11" ht="15">
      <c r="A132" s="101" t="s">
        <v>102</v>
      </c>
      <c r="B132" s="80" t="s">
        <v>123</v>
      </c>
      <c r="C132" s="16"/>
      <c r="D132" s="40">
        <v>12</v>
      </c>
      <c r="E132" s="6">
        <f t="shared" si="9"/>
        <v>1</v>
      </c>
      <c r="F132" s="67" t="str">
        <f>IF(E132=1," ","Не заполнено")</f>
        <v> </v>
      </c>
      <c r="G132" s="24"/>
      <c r="H132" s="24"/>
      <c r="I132" s="24"/>
      <c r="J132" s="24"/>
      <c r="K132" s="24"/>
    </row>
    <row r="133" spans="1:11" ht="15.75" thickBot="1">
      <c r="A133" s="101" t="s">
        <v>103</v>
      </c>
      <c r="B133" s="80" t="s">
        <v>174</v>
      </c>
      <c r="C133" s="16"/>
      <c r="D133" s="40">
        <v>3</v>
      </c>
      <c r="E133" s="6">
        <f t="shared" si="9"/>
        <v>1</v>
      </c>
      <c r="F133" s="67" t="str">
        <f>IF(E133=1," ","Не заполнено")</f>
        <v> </v>
      </c>
      <c r="G133" s="144"/>
      <c r="H133" s="24"/>
      <c r="I133" s="24"/>
      <c r="J133" s="24"/>
      <c r="K133" s="24"/>
    </row>
    <row r="134" spans="1:11" ht="19.5" thickBot="1">
      <c r="A134" s="110" t="s">
        <v>19</v>
      </c>
      <c r="B134" s="111" t="s">
        <v>36</v>
      </c>
      <c r="C134" s="26"/>
      <c r="D134" s="65" t="s">
        <v>25</v>
      </c>
      <c r="E134" s="6"/>
      <c r="F134" s="67"/>
      <c r="G134" s="24"/>
      <c r="H134" s="24"/>
      <c r="I134" s="24"/>
      <c r="J134" s="24"/>
      <c r="K134" s="24"/>
    </row>
    <row r="135" spans="1:9" ht="16.5" thickBot="1">
      <c r="A135" s="129" t="s">
        <v>77</v>
      </c>
      <c r="B135" s="102" t="s">
        <v>156</v>
      </c>
      <c r="C135" s="107" t="s">
        <v>2</v>
      </c>
      <c r="D135" s="20">
        <f>D136+D143+D148</f>
        <v>0</v>
      </c>
      <c r="E135" s="6"/>
      <c r="F135" s="67"/>
      <c r="I135"/>
    </row>
    <row r="136" spans="1:6" ht="17.25" thickBot="1">
      <c r="A136" s="134" t="s">
        <v>104</v>
      </c>
      <c r="B136" s="108" t="s">
        <v>78</v>
      </c>
      <c r="C136" s="174" t="s">
        <v>2</v>
      </c>
      <c r="D136" s="20">
        <f>D138+D139+D140+D141+D142</f>
        <v>0</v>
      </c>
      <c r="E136" s="6"/>
      <c r="F136" s="67"/>
    </row>
    <row r="137" spans="1:6" ht="15">
      <c r="A137" s="135"/>
      <c r="B137" s="97" t="s">
        <v>13</v>
      </c>
      <c r="C137" s="95"/>
      <c r="D137" s="64" t="s">
        <v>25</v>
      </c>
      <c r="E137" s="6"/>
      <c r="F137" s="67"/>
    </row>
    <row r="138" spans="1:6" ht="15">
      <c r="A138" s="101" t="s">
        <v>105</v>
      </c>
      <c r="B138" s="98" t="s">
        <v>180</v>
      </c>
      <c r="C138" s="96"/>
      <c r="D138" s="149">
        <v>0</v>
      </c>
      <c r="E138" s="6">
        <f>COUNTA(D138)</f>
        <v>1</v>
      </c>
      <c r="F138" s="67" t="str">
        <f>IF(E138=1," ","Не заполнено")</f>
        <v> </v>
      </c>
    </row>
    <row r="139" spans="1:6" ht="15">
      <c r="A139" s="101" t="s">
        <v>106</v>
      </c>
      <c r="B139" s="9" t="s">
        <v>181</v>
      </c>
      <c r="C139" s="16"/>
      <c r="D139" s="40">
        <v>0</v>
      </c>
      <c r="E139" s="6">
        <f>COUNTA(D139)</f>
        <v>1</v>
      </c>
      <c r="F139" s="67" t="str">
        <f>IF(E139=1," ","Не заполнено")</f>
        <v> </v>
      </c>
    </row>
    <row r="140" spans="1:6" ht="15">
      <c r="A140" s="101" t="s">
        <v>107</v>
      </c>
      <c r="B140" s="9" t="s">
        <v>184</v>
      </c>
      <c r="C140" s="16"/>
      <c r="D140" s="40">
        <v>0</v>
      </c>
      <c r="E140" s="6">
        <f>COUNTA(D140)</f>
        <v>1</v>
      </c>
      <c r="F140" s="67" t="str">
        <f>IF(E140=1," ","Не заполнено")</f>
        <v> </v>
      </c>
    </row>
    <row r="141" spans="1:6" ht="15">
      <c r="A141" s="101" t="s">
        <v>108</v>
      </c>
      <c r="B141" s="9" t="s">
        <v>179</v>
      </c>
      <c r="C141" s="15"/>
      <c r="D141" s="40">
        <v>0</v>
      </c>
      <c r="E141" s="6">
        <f>COUNTA(D141)</f>
        <v>1</v>
      </c>
      <c r="F141" s="67" t="str">
        <f>IF(E141=1," ","Не заполнено")</f>
        <v> </v>
      </c>
    </row>
    <row r="142" spans="1:6" ht="15.75" thickBot="1">
      <c r="A142" s="101" t="s">
        <v>109</v>
      </c>
      <c r="B142" s="9" t="s">
        <v>182</v>
      </c>
      <c r="C142" s="16"/>
      <c r="D142" s="40">
        <v>0</v>
      </c>
      <c r="E142" s="6">
        <f>COUNTA(D142)</f>
        <v>1</v>
      </c>
      <c r="F142" s="67" t="str">
        <f>IF(E142=1," ","Не заполнено")</f>
        <v> </v>
      </c>
    </row>
    <row r="143" spans="1:6" ht="17.25" thickBot="1">
      <c r="A143" s="113" t="s">
        <v>110</v>
      </c>
      <c r="B143" s="109" t="s">
        <v>79</v>
      </c>
      <c r="C143" s="94" t="s">
        <v>2</v>
      </c>
      <c r="D143" s="20">
        <f>D145+D146+D147</f>
        <v>0</v>
      </c>
      <c r="E143" s="6"/>
      <c r="F143" s="67"/>
    </row>
    <row r="144" spans="1:6" ht="15">
      <c r="A144" s="55"/>
      <c r="B144" s="9" t="s">
        <v>13</v>
      </c>
      <c r="C144" s="95"/>
      <c r="D144" s="64" t="s">
        <v>25</v>
      </c>
      <c r="E144" s="6"/>
      <c r="F144" s="67"/>
    </row>
    <row r="145" spans="1:6" ht="15">
      <c r="A145" s="101" t="s">
        <v>111</v>
      </c>
      <c r="B145" s="29" t="s">
        <v>180</v>
      </c>
      <c r="C145" s="96"/>
      <c r="D145" s="149">
        <v>0</v>
      </c>
      <c r="E145" s="6">
        <f t="shared" si="9"/>
        <v>1</v>
      </c>
      <c r="F145" s="67" t="str">
        <f>IF(E145=1," ","Не заполнено")</f>
        <v> </v>
      </c>
    </row>
    <row r="146" spans="1:6" ht="15">
      <c r="A146" s="101" t="s">
        <v>112</v>
      </c>
      <c r="B146" s="9" t="s">
        <v>181</v>
      </c>
      <c r="C146" s="16"/>
      <c r="D146" s="40">
        <v>0</v>
      </c>
      <c r="E146" s="6">
        <f>COUNTA(D146)</f>
        <v>1</v>
      </c>
      <c r="F146" s="67" t="str">
        <f>IF(E146=1," ","Не заполнено")</f>
        <v> </v>
      </c>
    </row>
    <row r="147" spans="1:6" ht="15.75" thickBot="1">
      <c r="A147" s="101" t="s">
        <v>113</v>
      </c>
      <c r="B147" s="9" t="s">
        <v>182</v>
      </c>
      <c r="C147" s="16"/>
      <c r="D147" s="40">
        <v>0</v>
      </c>
      <c r="E147" s="6">
        <f>COUNTA(D147)</f>
        <v>1</v>
      </c>
      <c r="F147" s="67" t="str">
        <f>IF(E147=1," ","Не заполнено")</f>
        <v> </v>
      </c>
    </row>
    <row r="148" spans="1:6" ht="17.25" thickBot="1">
      <c r="A148" s="113" t="s">
        <v>175</v>
      </c>
      <c r="B148" s="109" t="s">
        <v>195</v>
      </c>
      <c r="C148" s="94" t="s">
        <v>2</v>
      </c>
      <c r="D148" s="20">
        <f>D150+D151+D152+D153</f>
        <v>0</v>
      </c>
      <c r="E148" s="6"/>
      <c r="F148" s="67"/>
    </row>
    <row r="149" spans="1:6" ht="15">
      <c r="A149" s="55"/>
      <c r="B149" s="9" t="s">
        <v>13</v>
      </c>
      <c r="C149" s="95"/>
      <c r="D149" s="64" t="s">
        <v>25</v>
      </c>
      <c r="E149" s="6"/>
      <c r="F149" s="67"/>
    </row>
    <row r="150" spans="1:6" ht="15">
      <c r="A150" s="101" t="s">
        <v>176</v>
      </c>
      <c r="B150" s="29" t="s">
        <v>180</v>
      </c>
      <c r="C150" s="96"/>
      <c r="D150" s="149">
        <v>0</v>
      </c>
      <c r="E150" s="6">
        <f>COUNTA(D150)</f>
        <v>1</v>
      </c>
      <c r="F150" s="67" t="str">
        <f>IF(E150=1," ","Не заполнено")</f>
        <v> </v>
      </c>
    </row>
    <row r="151" spans="1:9" ht="15">
      <c r="A151" s="101" t="s">
        <v>177</v>
      </c>
      <c r="B151" s="9" t="s">
        <v>181</v>
      </c>
      <c r="C151" s="16"/>
      <c r="D151" s="40">
        <v>0</v>
      </c>
      <c r="E151" s="6">
        <f>COUNTA(D151)</f>
        <v>1</v>
      </c>
      <c r="F151" s="67" t="str">
        <f>IF(E151=1," ","Не заполнено")</f>
        <v> </v>
      </c>
      <c r="I151"/>
    </row>
    <row r="152" spans="1:9" ht="15">
      <c r="A152" s="101" t="s">
        <v>178</v>
      </c>
      <c r="B152" s="9" t="s">
        <v>179</v>
      </c>
      <c r="C152" s="16"/>
      <c r="D152" s="40">
        <v>0</v>
      </c>
      <c r="E152" s="6">
        <f>COUNTA(D152)</f>
        <v>1</v>
      </c>
      <c r="F152" s="67" t="str">
        <f>IF(E152=1," ","Не заполнено")</f>
        <v> </v>
      </c>
      <c r="I152"/>
    </row>
    <row r="153" spans="1:6" ht="15.75" thickBot="1">
      <c r="A153" s="101" t="s">
        <v>183</v>
      </c>
      <c r="B153" s="9" t="s">
        <v>182</v>
      </c>
      <c r="C153" s="16"/>
      <c r="D153" s="40">
        <v>0</v>
      </c>
      <c r="E153" s="6">
        <f>COUNTA(D153)</f>
        <v>1</v>
      </c>
      <c r="F153" s="67" t="str">
        <f>IF(E153=1," ","Не заполнено")</f>
        <v> </v>
      </c>
    </row>
    <row r="154" spans="1:6" ht="18.75">
      <c r="A154" s="110" t="s">
        <v>21</v>
      </c>
      <c r="B154" s="116" t="s">
        <v>23</v>
      </c>
      <c r="C154" s="26"/>
      <c r="D154" s="64" t="s">
        <v>25</v>
      </c>
      <c r="F154" s="67"/>
    </row>
    <row r="155" spans="1:6" ht="16.5" thickBot="1">
      <c r="A155" s="131" t="s">
        <v>157</v>
      </c>
      <c r="B155" s="112" t="s">
        <v>185</v>
      </c>
      <c r="C155" s="49" t="s">
        <v>2</v>
      </c>
      <c r="D155" s="148">
        <v>5</v>
      </c>
      <c r="E155" s="6">
        <f>COUNTA(D155)</f>
        <v>1</v>
      </c>
      <c r="F155" s="67" t="str">
        <f>IF(E155=1," ","Не заполнено")</f>
        <v> </v>
      </c>
    </row>
    <row r="156" spans="1:6" ht="16.5" thickBot="1">
      <c r="A156" s="131" t="s">
        <v>158</v>
      </c>
      <c r="B156" s="112" t="s">
        <v>186</v>
      </c>
      <c r="C156" s="14" t="s">
        <v>2</v>
      </c>
      <c r="D156" s="20">
        <f>SUM(D158+D159+D160)</f>
        <v>72</v>
      </c>
      <c r="E156" s="6"/>
      <c r="F156" s="67"/>
    </row>
    <row r="157" spans="1:6" ht="15">
      <c r="A157" s="53"/>
      <c r="B157" s="29" t="s">
        <v>22</v>
      </c>
      <c r="C157" s="27"/>
      <c r="D157" s="85" t="s">
        <v>25</v>
      </c>
      <c r="F157" s="67"/>
    </row>
    <row r="158" spans="1:7" ht="15">
      <c r="A158" s="101" t="s">
        <v>52</v>
      </c>
      <c r="B158" s="9" t="s">
        <v>124</v>
      </c>
      <c r="C158" s="16"/>
      <c r="D158" s="40">
        <v>18</v>
      </c>
      <c r="E158" s="6">
        <f>COUNTA(D158)</f>
        <v>1</v>
      </c>
      <c r="F158" s="67" t="str">
        <f>IF(E158=1," ","Не заполнено")</f>
        <v> </v>
      </c>
      <c r="G158" s="117">
        <f>IF(D158-D119&lt;=0,,"'НЕПРАВИЛЬНО! п.п.5.2.1. не может быть больше п.п.3.1.1.1.!")</f>
        <v>0</v>
      </c>
    </row>
    <row r="159" spans="1:7" ht="15">
      <c r="A159" s="101" t="s">
        <v>53</v>
      </c>
      <c r="B159" s="9" t="s">
        <v>46</v>
      </c>
      <c r="C159" s="124"/>
      <c r="D159" s="42">
        <v>18</v>
      </c>
      <c r="E159" s="6">
        <f>COUNTA(D159)</f>
        <v>1</v>
      </c>
      <c r="F159" s="67" t="str">
        <f>IF(E159=1," ","Не заполнено")</f>
        <v> </v>
      </c>
      <c r="G159" s="117">
        <f>IF(D159-D123&lt;=0,,"'НЕПРАВИЛЬНО! п.п.5.2.2. не может быть больше п.п.3.1.1.5.!")</f>
        <v>0</v>
      </c>
    </row>
    <row r="160" spans="1:7" ht="15.75" thickBot="1">
      <c r="A160" s="172" t="s">
        <v>161</v>
      </c>
      <c r="B160" s="156" t="s">
        <v>187</v>
      </c>
      <c r="C160" s="84"/>
      <c r="D160" s="41">
        <v>36</v>
      </c>
      <c r="E160" s="6">
        <f>COUNTA(D160)</f>
        <v>1</v>
      </c>
      <c r="F160" s="67" t="str">
        <f>IF(E160=1," ","Не заполнено")</f>
        <v> </v>
      </c>
      <c r="G160" s="117"/>
    </row>
    <row r="161" spans="1:6" ht="15">
      <c r="A161" s="90"/>
      <c r="B161" s="9"/>
      <c r="C161"/>
      <c r="D161" s="91"/>
      <c r="E161" s="6"/>
      <c r="F161" s="67"/>
    </row>
    <row r="162" spans="2:6" ht="14.25">
      <c r="B162" s="28" t="s">
        <v>24</v>
      </c>
      <c r="C162"/>
      <c r="D162" s="38"/>
      <c r="E162" s="6"/>
      <c r="F162" s="67"/>
    </row>
    <row r="163" spans="2:6" ht="14.25">
      <c r="B163" s="28" t="s">
        <v>68</v>
      </c>
      <c r="C163"/>
      <c r="D163" s="38"/>
      <c r="E163" s="6"/>
      <c r="F163" s="67"/>
    </row>
    <row r="164" spans="2:6" ht="17.25" customHeight="1">
      <c r="B164" s="99" t="s">
        <v>200</v>
      </c>
      <c r="C164"/>
      <c r="D164" s="38"/>
      <c r="E164" s="6">
        <f>COUNTA(B164)</f>
        <v>1</v>
      </c>
      <c r="F164" s="67" t="str">
        <f>IF(E164=1," ","Не заполнено")</f>
        <v> </v>
      </c>
    </row>
    <row r="165" spans="2:4" ht="12.75">
      <c r="B165" s="81" t="s">
        <v>67</v>
      </c>
      <c r="C165"/>
      <c r="D165" s="38"/>
    </row>
    <row r="166" spans="3:5" ht="12.75">
      <c r="C166"/>
      <c r="D166" s="4"/>
      <c r="E166" s="127">
        <f>E7+E12+E13+E14+E15+E16+E19+E20+E21+E22+E23+E24+E25+E26+E27+E28+E29+E30+E31+E32+E33+E34+E35+E36+E37+E38+E39+E40+E41+E42+E43+E44+E51+E52+E53+E54+E55+E56+E57+E58+E59+E60+E61+E64+E65+E66+E67+E68+E69+E70+E71+E72+E73+E74+E77+E78+E79+E80+E81+E82+E83+E84+E85+E86+E87+E88+E89+E90+E91+E92+E93+E94+E95+E96+E103+E110+E111+E112+E113+E114+E115+E119+E120+E121+E122+E123+E124+E125+E126+E127+E129+E130+E131+E132+E133+E138+E139+E140+E141+E142+E145+E146+E147+E150+E151+E152+E153+E155+E158+E159+E160+E164</f>
        <v>111</v>
      </c>
    </row>
    <row r="167" spans="3:4" ht="12.75">
      <c r="C167"/>
      <c r="D167" s="4"/>
    </row>
    <row r="168" spans="1:4" ht="12.75">
      <c r="A168" s="5"/>
      <c r="C168"/>
      <c r="D168" s="4"/>
    </row>
    <row r="169" spans="1:4" ht="12.75">
      <c r="A169" s="5"/>
      <c r="B169" s="181" t="str">
        <f>IF(E166=111,"Спасибо, Вы заполнили все необходимые ячейки, отчет принимается к рассмотрению содержания по существу.","   ")</f>
        <v>Спасибо, Вы заполнили все необходимые ячейки, отчет принимается к рассмотрению содержания по существу.</v>
      </c>
      <c r="C169" s="181"/>
      <c r="D169" s="4"/>
    </row>
    <row r="170" spans="1:4" ht="12.75">
      <c r="A170" s="5"/>
      <c r="B170" s="181"/>
      <c r="C170" s="181"/>
      <c r="D170" s="4"/>
    </row>
    <row r="171" spans="1:4" ht="12.75">
      <c r="A171" s="5"/>
      <c r="B171" s="175">
        <f>IF(E166&lt;111,"Не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</c>
      <c r="C171" s="175"/>
      <c r="D171" s="4"/>
    </row>
    <row r="172" spans="1:4" ht="12.75">
      <c r="A172" s="5"/>
      <c r="B172" s="175"/>
      <c r="C172" s="175"/>
      <c r="D172" s="4"/>
    </row>
    <row r="173" spans="1:6" ht="12.75">
      <c r="A173" s="5"/>
      <c r="B173" s="175"/>
      <c r="C173" s="175"/>
      <c r="D173" s="4"/>
      <c r="F173" s="10"/>
    </row>
    <row r="174" spans="1:6" ht="12.75">
      <c r="A174" s="5"/>
      <c r="B174" s="175"/>
      <c r="C174" s="175"/>
      <c r="D174" s="4"/>
      <c r="F174" s="10"/>
    </row>
    <row r="175" spans="1:6" ht="12.75">
      <c r="A175" s="5"/>
      <c r="C175" s="10"/>
      <c r="D175" s="4"/>
      <c r="F175" s="10"/>
    </row>
    <row r="176" spans="1:6" ht="12.75">
      <c r="A176" s="5"/>
      <c r="C176" s="10"/>
      <c r="D176" s="4"/>
      <c r="F176" s="10"/>
    </row>
    <row r="177" spans="1:6" ht="12.75">
      <c r="A177" s="5"/>
      <c r="C177" s="10"/>
      <c r="D177" s="4"/>
      <c r="F177" s="10"/>
    </row>
    <row r="178" spans="1:6" ht="12.75">
      <c r="A178" s="5"/>
      <c r="C178" s="10"/>
      <c r="D178" s="4"/>
      <c r="F178" s="10"/>
    </row>
    <row r="179" spans="1:6" ht="12.75">
      <c r="A179" s="5"/>
      <c r="C179" s="10"/>
      <c r="D179" s="4"/>
      <c r="F179" s="10"/>
    </row>
  </sheetData>
  <sheetProtection password="CF81" sheet="1" selectLockedCells="1"/>
  <mergeCells count="7">
    <mergeCell ref="B171:C174"/>
    <mergeCell ref="A4:D4"/>
    <mergeCell ref="A5:D5"/>
    <mergeCell ref="A6:D6"/>
    <mergeCell ref="A8:D8"/>
    <mergeCell ref="B7:C7"/>
    <mergeCell ref="B169:C170"/>
  </mergeCells>
  <conditionalFormatting sqref="G119">
    <cfRule type="cellIs" priority="207" dxfId="137" operator="lessThan" stopIfTrue="1">
      <formula>0</formula>
    </cfRule>
    <cfRule type="containsText" priority="208" dxfId="137" operator="containsText" stopIfTrue="1" text="НЕПРАВИЛЬНО">
      <formula>NOT(ISERROR(SEARCH("НЕПРАВИЛЬНО",G119)))</formula>
    </cfRule>
  </conditionalFormatting>
  <conditionalFormatting sqref="G158:G160 G19 G23 G12:G16 G27 G32 G37">
    <cfRule type="cellIs" priority="206" dxfId="137" operator="greaterThan" stopIfTrue="1">
      <formula>0</formula>
    </cfRule>
  </conditionalFormatting>
  <conditionalFormatting sqref="G50">
    <cfRule type="cellIs" priority="204" dxfId="137" operator="greaterThan" stopIfTrue="1">
      <formula>0</formula>
    </cfRule>
    <cfRule type="cellIs" priority="205" dxfId="137" operator="lessThan" stopIfTrue="1">
      <formula>0</formula>
    </cfRule>
  </conditionalFormatting>
  <conditionalFormatting sqref="G14:G16">
    <cfRule type="cellIs" priority="198" dxfId="137" operator="greaterThan" stopIfTrue="1">
      <formula>0</formula>
    </cfRule>
    <cfRule type="cellIs" priority="199" dxfId="137" operator="greaterThan" stopIfTrue="1">
      <formula>0</formula>
    </cfRule>
  </conditionalFormatting>
  <conditionalFormatting sqref="G12">
    <cfRule type="cellIs" priority="191" dxfId="137" operator="greaterThan" stopIfTrue="1">
      <formula>"+"</formula>
    </cfRule>
  </conditionalFormatting>
  <conditionalFormatting sqref="G97">
    <cfRule type="cellIs" priority="173" dxfId="137" operator="greaterThan" stopIfTrue="1">
      <formula>0</formula>
    </cfRule>
    <cfRule type="cellIs" priority="190" dxfId="138" operator="notEqual" stopIfTrue="1">
      <formula>0</formula>
    </cfRule>
  </conditionalFormatting>
  <conditionalFormatting sqref="G105">
    <cfRule type="cellIs" priority="1" dxfId="137" operator="greaterThan" stopIfTrue="1">
      <formula>0</formula>
    </cfRule>
    <cfRule type="containsText" priority="188" dxfId="73" operator="containsText" stopIfTrue="1" text="0">
      <formula>NOT(ISERROR(SEARCH("0",G105)))</formula>
    </cfRule>
    <cfRule type="containsText" priority="189" dxfId="137" operator="containsText" stopIfTrue="1" text="НЕПРАВИЛЬНО">
      <formula>NOT(ISERROR(SEARCH("НЕПРАВИЛЬНО",G105)))</formula>
    </cfRule>
  </conditionalFormatting>
  <conditionalFormatting sqref="G107:G109">
    <cfRule type="containsText" priority="187" dxfId="137" operator="containsText" stopIfTrue="1" text="НЕПРАВИЛЬНО">
      <formula>NOT(ISERROR(SEARCH("НЕПРАВИЛЬНО",G107)))</formula>
    </cfRule>
  </conditionalFormatting>
  <conditionalFormatting sqref="A2">
    <cfRule type="cellIs" priority="184" dxfId="139" operator="lessThan" stopIfTrue="1">
      <formula>111</formula>
    </cfRule>
    <cfRule type="cellIs" priority="185" dxfId="140" operator="equal" stopIfTrue="1">
      <formula>111</formula>
    </cfRule>
  </conditionalFormatting>
  <conditionalFormatting sqref="G123">
    <cfRule type="containsText" priority="183" dxfId="137" operator="containsText" stopIfTrue="1" text="НЕПРАВИЛЬНО">
      <formula>NOT(ISERROR(SEARCH("НЕПРАВИЛЬНО",G123)))</formula>
    </cfRule>
  </conditionalFormatting>
  <conditionalFormatting sqref="G133">
    <cfRule type="containsText" priority="182" dxfId="137" operator="containsText" stopIfTrue="1" text="НЕПРАВИЛЬНО">
      <formula>NOT(ISERROR(SEARCH("НЕПРАВИЛЬНО",G133)))</formula>
    </cfRule>
  </conditionalFormatting>
  <conditionalFormatting sqref="G127">
    <cfRule type="cellIs" priority="180" dxfId="137" operator="lessThan" stopIfTrue="1">
      <formula>0</formula>
    </cfRule>
    <cfRule type="containsText" priority="181" dxfId="137" operator="containsText" stopIfTrue="1" text="НЕПРАВИЛЬНО">
      <formula>NOT(ISERROR(SEARCH("НЕПРАВИЛЬНО",G127)))</formula>
    </cfRule>
  </conditionalFormatting>
  <conditionalFormatting sqref="G52">
    <cfRule type="cellIs" priority="178" dxfId="137" operator="lessThan" stopIfTrue="1">
      <formula>0</formula>
    </cfRule>
    <cfRule type="containsText" priority="179" dxfId="137" operator="containsText" stopIfTrue="1" text="НЕПРАВИЛЬНО">
      <formula>NOT(ISERROR(SEARCH("НЕПРАВИЛЬНО",G52)))</formula>
    </cfRule>
  </conditionalFormatting>
  <conditionalFormatting sqref="G125">
    <cfRule type="cellIs" priority="176" dxfId="137" operator="lessThan" stopIfTrue="1">
      <formula>0</formula>
    </cfRule>
    <cfRule type="containsText" priority="177" dxfId="137" operator="containsText" stopIfTrue="1" text="НЕПРАВИЛЬНО">
      <formula>NOT(ISERROR(SEARCH("НЕПРАВИЛЬНО",G125)))</formula>
    </cfRule>
  </conditionalFormatting>
  <conditionalFormatting sqref="G51">
    <cfRule type="cellIs" priority="174" dxfId="137" operator="lessThan" stopIfTrue="1">
      <formula>0</formula>
    </cfRule>
    <cfRule type="containsText" priority="175" dxfId="137" operator="containsText" stopIfTrue="1" text="НЕПРАВИЛЬНО">
      <formula>NOT(ISERROR(SEARCH("НЕПРАВИЛЬНО",G51)))</formula>
    </cfRule>
  </conditionalFormatting>
  <conditionalFormatting sqref="G20:G22">
    <cfRule type="cellIs" priority="170" dxfId="137" operator="greaterThan" stopIfTrue="1">
      <formula>0</formula>
    </cfRule>
    <cfRule type="cellIs" priority="171" dxfId="137" operator="lessThan" stopIfTrue="1">
      <formula>0</formula>
    </cfRule>
    <cfRule type="cellIs" priority="172" dxfId="137" operator="lessThan" stopIfTrue="1">
      <formula>0</formula>
    </cfRule>
  </conditionalFormatting>
  <conditionalFormatting sqref="G24:G26">
    <cfRule type="cellIs" priority="169" dxfId="137" operator="greaterThan" stopIfTrue="1">
      <formula>0</formula>
    </cfRule>
  </conditionalFormatting>
  <conditionalFormatting sqref="G28:G31">
    <cfRule type="cellIs" priority="165" dxfId="137" operator="lessThan" stopIfTrue="1">
      <formula>0</formula>
    </cfRule>
    <cfRule type="cellIs" priority="166" dxfId="137" operator="greaterThan" stopIfTrue="1">
      <formula>0</formula>
    </cfRule>
    <cfRule type="cellIs" priority="167" dxfId="0" operator="lessThan" stopIfTrue="1">
      <formula>0</formula>
    </cfRule>
    <cfRule type="cellIs" priority="168" dxfId="137" operator="lessThan" stopIfTrue="1">
      <formula>0</formula>
    </cfRule>
  </conditionalFormatting>
  <conditionalFormatting sqref="G28:G31">
    <cfRule type="cellIs" priority="162" dxfId="137" operator="greaterThan" stopIfTrue="1">
      <formula>0</formula>
    </cfRule>
    <cfRule type="cellIs" priority="163" dxfId="137" operator="lessThan" stopIfTrue="1">
      <formula>0</formula>
    </cfRule>
    <cfRule type="cellIs" priority="164" dxfId="137" operator="lessThan" stopIfTrue="1">
      <formula>0</formula>
    </cfRule>
  </conditionalFormatting>
  <conditionalFormatting sqref="G38:G40">
    <cfRule type="cellIs" priority="159" dxfId="137" operator="greaterThan" stopIfTrue="1">
      <formula>0</formula>
    </cfRule>
    <cfRule type="cellIs" priority="160" dxfId="137" operator="lessThan" stopIfTrue="1">
      <formula>0</formula>
    </cfRule>
    <cfRule type="cellIs" priority="161" dxfId="137" operator="lessThan" stopIfTrue="1">
      <formula>0</formula>
    </cfRule>
  </conditionalFormatting>
  <conditionalFormatting sqref="G42:G44">
    <cfRule type="cellIs" priority="158" dxfId="137" operator="greaterThan" stopIfTrue="1">
      <formula>0</formula>
    </cfRule>
  </conditionalFormatting>
  <conditionalFormatting sqref="G42:G44">
    <cfRule type="cellIs" priority="156" dxfId="137" operator="greaterThan" stopIfTrue="1">
      <formula>0</formula>
    </cfRule>
    <cfRule type="cellIs" priority="157" dxfId="137" operator="greaterThan" stopIfTrue="1">
      <formula>0</formula>
    </cfRule>
  </conditionalFormatting>
  <conditionalFormatting sqref="G55:G57">
    <cfRule type="cellIs" priority="153" dxfId="137" operator="greaterThan" stopIfTrue="1">
      <formula>0</formula>
    </cfRule>
    <cfRule type="cellIs" priority="154" dxfId="137" operator="lessThan" stopIfTrue="1">
      <formula>0</formula>
    </cfRule>
    <cfRule type="cellIs" priority="155" dxfId="137" operator="lessThan" stopIfTrue="1">
      <formula>0</formula>
    </cfRule>
  </conditionalFormatting>
  <conditionalFormatting sqref="G59:G61">
    <cfRule type="cellIs" priority="152" dxfId="137" operator="greaterThan" stopIfTrue="1">
      <formula>0</formula>
    </cfRule>
  </conditionalFormatting>
  <conditionalFormatting sqref="G62">
    <cfRule type="containsText" priority="150" dxfId="137" operator="containsText" stopIfTrue="1" text="0">
      <formula>NOT(ISERROR(SEARCH("0",G62)))</formula>
    </cfRule>
    <cfRule type="containsText" priority="151" dxfId="141" operator="containsText" stopIfTrue="1" text="ЛОЖЬ">
      <formula>NOT(ISERROR(SEARCH("ЛОЖЬ",G62)))</formula>
    </cfRule>
  </conditionalFormatting>
  <conditionalFormatting sqref="G62">
    <cfRule type="containsText" priority="149" dxfId="141" operator="containsText" stopIfTrue="1" text="ЛОЖЬ">
      <formula>NOT(ISERROR(SEARCH("ЛОЖЬ",G62)))</formula>
    </cfRule>
  </conditionalFormatting>
  <conditionalFormatting sqref="G62">
    <cfRule type="duplicateValues" priority="145" dxfId="137" stopIfTrue="1">
      <formula>AND(COUNTIF($G$62:$G$62,G62)&gt;1,NOT(ISBLANK(G62)))</formula>
    </cfRule>
    <cfRule type="cellIs" priority="146" dxfId="137" operator="greaterThan" stopIfTrue="1">
      <formula>0</formula>
    </cfRule>
    <cfRule type="cellIs" priority="147" dxfId="137" operator="lessThan" stopIfTrue="1">
      <formula>0</formula>
    </cfRule>
    <cfRule type="containsText" priority="148" dxfId="141" operator="containsText" stopIfTrue="1" text="ЛОЖЬ">
      <formula>NOT(ISERROR(SEARCH("ЛОЖЬ",G62)))</formula>
    </cfRule>
  </conditionalFormatting>
  <conditionalFormatting sqref="G62">
    <cfRule type="cellIs" priority="132" dxfId="75" operator="equal" stopIfTrue="1">
      <formula>0</formula>
    </cfRule>
    <cfRule type="cellIs" priority="133" dxfId="142" operator="notEqual" stopIfTrue="1">
      <formula>0</formula>
    </cfRule>
    <cfRule type="cellIs" priority="134" dxfId="73" operator="greaterThan" stopIfTrue="1">
      <formula>0</formula>
    </cfRule>
    <cfRule type="containsText" priority="135" dxfId="137" operator="containsText" stopIfTrue="1" text="0">
      <formula>NOT(ISERROR(SEARCH("0",G62)))</formula>
    </cfRule>
    <cfRule type="cellIs" priority="136" dxfId="137" operator="equal" stopIfTrue="1">
      <formula>0</formula>
    </cfRule>
    <cfRule type="cellIs" priority="137" dxfId="137" operator="lessThan" stopIfTrue="1">
      <formula>0</formula>
    </cfRule>
    <cfRule type="cellIs" priority="138" dxfId="137" operator="equal" stopIfTrue="1">
      <formula>0</formula>
    </cfRule>
    <cfRule type="cellIs" priority="139" dxfId="137" operator="equal" stopIfTrue="1">
      <formula>0</formula>
    </cfRule>
    <cfRule type="cellIs" priority="140" dxfId="137" operator="greaterThan" stopIfTrue="1">
      <formula>0</formula>
    </cfRule>
    <cfRule type="duplicateValues" priority="141" dxfId="137" stopIfTrue="1">
      <formula>AND(COUNTIF($G$62:$G$62,G62)&gt;1,NOT(ISBLANK(G62)))</formula>
    </cfRule>
    <cfRule type="cellIs" priority="142" dxfId="137" operator="greaterThan" stopIfTrue="1">
      <formula>0</formula>
    </cfRule>
    <cfRule type="cellIs" priority="143" dxfId="137" operator="lessThan" stopIfTrue="1">
      <formula>0</formula>
    </cfRule>
    <cfRule type="containsText" priority="144" dxfId="141" operator="containsText" stopIfTrue="1" text="ЛОЖЬ">
      <formula>NOT(ISERROR(SEARCH("ЛОЖЬ",G62)))</formula>
    </cfRule>
  </conditionalFormatting>
  <conditionalFormatting sqref="G62">
    <cfRule type="containsText" priority="130" dxfId="137" operator="containsText" stopIfTrue="1" text="0">
      <formula>NOT(ISERROR(SEARCH("0",G62)))</formula>
    </cfRule>
    <cfRule type="containsText" priority="131" dxfId="141" operator="containsText" stopIfTrue="1" text="ЛОЖЬ">
      <formula>NOT(ISERROR(SEARCH("ЛОЖЬ",G62)))</formula>
    </cfRule>
  </conditionalFormatting>
  <conditionalFormatting sqref="G62">
    <cfRule type="containsText" priority="129" dxfId="141" operator="containsText" stopIfTrue="1" text="ЛОЖЬ">
      <formula>NOT(ISERROR(SEARCH("ЛОЖЬ",G62)))</formula>
    </cfRule>
  </conditionalFormatting>
  <conditionalFormatting sqref="G62">
    <cfRule type="duplicateValues" priority="125" dxfId="137" stopIfTrue="1">
      <formula>AND(COUNTIF($G$62:$G$62,G62)&gt;1,NOT(ISBLANK(G62)))</formula>
    </cfRule>
    <cfRule type="cellIs" priority="126" dxfId="137" operator="greaterThan" stopIfTrue="1">
      <formula>0</formula>
    </cfRule>
    <cfRule type="cellIs" priority="127" dxfId="137" operator="lessThan" stopIfTrue="1">
      <formula>0</formula>
    </cfRule>
    <cfRule type="containsText" priority="128" dxfId="141" operator="containsText" stopIfTrue="1" text="ЛОЖЬ">
      <formula>NOT(ISERROR(SEARCH("ЛОЖЬ",G62)))</formula>
    </cfRule>
  </conditionalFormatting>
  <conditionalFormatting sqref="G62">
    <cfRule type="cellIs" priority="112" dxfId="75" operator="equal" stopIfTrue="1">
      <formula>0</formula>
    </cfRule>
    <cfRule type="cellIs" priority="113" dxfId="142" operator="notEqual" stopIfTrue="1">
      <formula>0</formula>
    </cfRule>
    <cfRule type="cellIs" priority="114" dxfId="73" operator="greaterThan" stopIfTrue="1">
      <formula>0</formula>
    </cfRule>
    <cfRule type="containsText" priority="115" dxfId="137" operator="containsText" stopIfTrue="1" text="0">
      <formula>NOT(ISERROR(SEARCH("0",G62)))</formula>
    </cfRule>
    <cfRule type="cellIs" priority="116" dxfId="137" operator="equal" stopIfTrue="1">
      <formula>0</formula>
    </cfRule>
    <cfRule type="cellIs" priority="117" dxfId="137" operator="lessThan" stopIfTrue="1">
      <formula>0</formula>
    </cfRule>
    <cfRule type="cellIs" priority="118" dxfId="137" operator="equal" stopIfTrue="1">
      <formula>0</formula>
    </cfRule>
    <cfRule type="cellIs" priority="119" dxfId="137" operator="equal" stopIfTrue="1">
      <formula>0</formula>
    </cfRule>
    <cfRule type="cellIs" priority="120" dxfId="137" operator="greaterThan" stopIfTrue="1">
      <formula>0</formula>
    </cfRule>
    <cfRule type="duplicateValues" priority="121" dxfId="137" stopIfTrue="1">
      <formula>AND(COUNTIF($G$62:$G$62,G62)&gt;1,NOT(ISBLANK(G62)))</formula>
    </cfRule>
    <cfRule type="cellIs" priority="122" dxfId="137" operator="greaterThan" stopIfTrue="1">
      <formula>0</formula>
    </cfRule>
    <cfRule type="cellIs" priority="123" dxfId="137" operator="lessThan" stopIfTrue="1">
      <formula>0</formula>
    </cfRule>
    <cfRule type="containsText" priority="124" dxfId="141" operator="containsText" stopIfTrue="1" text="ЛОЖЬ">
      <formula>NOT(ISERROR(SEARCH("ЛОЖЬ",G62)))</formula>
    </cfRule>
  </conditionalFormatting>
  <conditionalFormatting sqref="G65:G68">
    <cfRule type="cellIs" priority="108" dxfId="137" operator="lessThan" stopIfTrue="1">
      <formula>0</formula>
    </cfRule>
    <cfRule type="cellIs" priority="109" dxfId="137" operator="greaterThan" stopIfTrue="1">
      <formula>0</formula>
    </cfRule>
    <cfRule type="cellIs" priority="110" dxfId="0" operator="lessThan" stopIfTrue="1">
      <formula>0</formula>
    </cfRule>
    <cfRule type="cellIs" priority="111" dxfId="137" operator="lessThan" stopIfTrue="1">
      <formula>0</formula>
    </cfRule>
  </conditionalFormatting>
  <conditionalFormatting sqref="G65:G68">
    <cfRule type="cellIs" priority="105" dxfId="137" operator="greaterThan" stopIfTrue="1">
      <formula>0</formula>
    </cfRule>
    <cfRule type="cellIs" priority="106" dxfId="137" operator="lessThan" stopIfTrue="1">
      <formula>0</formula>
    </cfRule>
    <cfRule type="cellIs" priority="107" dxfId="137" operator="lessThan" stopIfTrue="1">
      <formula>0</formula>
    </cfRule>
  </conditionalFormatting>
  <conditionalFormatting sqref="G68">
    <cfRule type="cellIs" priority="100" dxfId="137" operator="greaterThan" stopIfTrue="1">
      <formula>0</formula>
    </cfRule>
    <cfRule type="cellIs" priority="101" dxfId="137" operator="lessThan" stopIfTrue="1">
      <formula>0</formula>
    </cfRule>
    <cfRule type="cellIs" priority="102" dxfId="137" operator="greaterThan" stopIfTrue="1">
      <formula>0</formula>
    </cfRule>
    <cfRule type="cellIs" priority="103" dxfId="0" operator="lessThan" stopIfTrue="1">
      <formula>0</formula>
    </cfRule>
    <cfRule type="cellIs" priority="104" dxfId="137" operator="lessThan" stopIfTrue="1">
      <formula>0</formula>
    </cfRule>
  </conditionalFormatting>
  <conditionalFormatting sqref="G74">
    <cfRule type="cellIs" priority="96" dxfId="137" operator="lessThan" stopIfTrue="1">
      <formula>0</formula>
    </cfRule>
    <cfRule type="cellIs" priority="97" dxfId="137" operator="greaterThan" stopIfTrue="1">
      <formula>0</formula>
    </cfRule>
    <cfRule type="cellIs" priority="98" dxfId="0" operator="lessThan" stopIfTrue="1">
      <formula>0</formula>
    </cfRule>
    <cfRule type="cellIs" priority="99" dxfId="137" operator="lessThan" stopIfTrue="1">
      <formula>0</formula>
    </cfRule>
  </conditionalFormatting>
  <conditionalFormatting sqref="G74">
    <cfRule type="cellIs" priority="93" dxfId="137" operator="greaterThan" stopIfTrue="1">
      <formula>0</formula>
    </cfRule>
    <cfRule type="cellIs" priority="94" dxfId="137" operator="lessThan" stopIfTrue="1">
      <formula>0</formula>
    </cfRule>
    <cfRule type="cellIs" priority="95" dxfId="137" operator="lessThan" stopIfTrue="1">
      <formula>0</formula>
    </cfRule>
  </conditionalFormatting>
  <conditionalFormatting sqref="G74">
    <cfRule type="cellIs" priority="88" dxfId="137" operator="greaterThan" stopIfTrue="1">
      <formula>0</formula>
    </cfRule>
    <cfRule type="cellIs" priority="89" dxfId="137" operator="lessThan" stopIfTrue="1">
      <formula>0</formula>
    </cfRule>
    <cfRule type="cellIs" priority="90" dxfId="137" operator="greaterThan" stopIfTrue="1">
      <formula>0</formula>
    </cfRule>
    <cfRule type="cellIs" priority="91" dxfId="0" operator="lessThan" stopIfTrue="1">
      <formula>0</formula>
    </cfRule>
    <cfRule type="cellIs" priority="92" dxfId="137" operator="lessThan" stopIfTrue="1">
      <formula>0</formula>
    </cfRule>
  </conditionalFormatting>
  <conditionalFormatting sqref="G70:G72">
    <cfRule type="cellIs" priority="84" dxfId="137" operator="lessThan" stopIfTrue="1">
      <formula>0</formula>
    </cfRule>
    <cfRule type="cellIs" priority="85" dxfId="137" operator="greaterThan" stopIfTrue="1">
      <formula>0</formula>
    </cfRule>
    <cfRule type="cellIs" priority="86" dxfId="0" operator="lessThan" stopIfTrue="1">
      <formula>0</formula>
    </cfRule>
    <cfRule type="cellIs" priority="87" dxfId="137" operator="lessThan" stopIfTrue="1">
      <formula>0</formula>
    </cfRule>
  </conditionalFormatting>
  <conditionalFormatting sqref="G70:G72">
    <cfRule type="cellIs" priority="81" dxfId="137" operator="greaterThan" stopIfTrue="1">
      <formula>0</formula>
    </cfRule>
    <cfRule type="cellIs" priority="82" dxfId="137" operator="lessThan" stopIfTrue="1">
      <formula>0</formula>
    </cfRule>
    <cfRule type="cellIs" priority="83" dxfId="137" operator="lessThan" stopIfTrue="1">
      <formula>0</formula>
    </cfRule>
  </conditionalFormatting>
  <conditionalFormatting sqref="G89:G91">
    <cfRule type="cellIs" priority="78" dxfId="137" operator="greaterThan" stopIfTrue="1">
      <formula>0</formula>
    </cfRule>
    <cfRule type="cellIs" priority="79" dxfId="137" operator="lessThan" stopIfTrue="1">
      <formula>0</formula>
    </cfRule>
    <cfRule type="cellIs" priority="80" dxfId="137" operator="lessThan" stopIfTrue="1">
      <formula>0</formula>
    </cfRule>
  </conditionalFormatting>
  <conditionalFormatting sqref="G93:G95">
    <cfRule type="cellIs" priority="77" dxfId="137" operator="greaterThan" stopIfTrue="1">
      <formula>0</formula>
    </cfRule>
  </conditionalFormatting>
  <conditionalFormatting sqref="G93:G95">
    <cfRule type="cellIs" priority="75" dxfId="137" operator="greaterThan" stopIfTrue="1">
      <formula>0</formula>
    </cfRule>
    <cfRule type="cellIs" priority="76" dxfId="137" operator="greaterThan" stopIfTrue="1">
      <formula>0</formula>
    </cfRule>
  </conditionalFormatting>
  <conditionalFormatting sqref="G94">
    <cfRule type="cellIs" priority="74" dxfId="137" operator="greaterThan" stopIfTrue="1">
      <formula>0</formula>
    </cfRule>
  </conditionalFormatting>
  <conditionalFormatting sqref="G94">
    <cfRule type="cellIs" priority="72" dxfId="137" operator="greaterThan" stopIfTrue="1">
      <formula>0</formula>
    </cfRule>
    <cfRule type="cellIs" priority="73" dxfId="137" operator="greaterThan" stopIfTrue="1">
      <formula>0</formula>
    </cfRule>
  </conditionalFormatting>
  <conditionalFormatting sqref="H75">
    <cfRule type="cellIs" priority="58" dxfId="137" operator="greaterThan" stopIfTrue="1">
      <formula>0</formula>
    </cfRule>
  </conditionalFormatting>
  <conditionalFormatting sqref="H76:H87">
    <cfRule type="cellIs" priority="67" dxfId="137" operator="lessThan" stopIfTrue="1">
      <formula>0</formula>
    </cfRule>
    <cfRule type="cellIs" priority="68" dxfId="137" operator="greaterThan" stopIfTrue="1">
      <formula>0</formula>
    </cfRule>
    <cfRule type="cellIs" priority="69" dxfId="0" operator="lessThan" stopIfTrue="1">
      <formula>0</formula>
    </cfRule>
    <cfRule type="cellIs" priority="70" dxfId="137" operator="lessThan" stopIfTrue="1">
      <formula>0</formula>
    </cfRule>
  </conditionalFormatting>
  <conditionalFormatting sqref="H76:H87">
    <cfRule type="cellIs" priority="64" dxfId="137" operator="greaterThan" stopIfTrue="1">
      <formula>0</formula>
    </cfRule>
    <cfRule type="cellIs" priority="65" dxfId="137" operator="lessThan" stopIfTrue="1">
      <formula>0</formula>
    </cfRule>
    <cfRule type="cellIs" priority="66" dxfId="137" operator="lessThan" stopIfTrue="1">
      <formula>0</formula>
    </cfRule>
  </conditionalFormatting>
  <conditionalFormatting sqref="H76:H87">
    <cfRule type="cellIs" priority="59" dxfId="137" operator="greaterThan" stopIfTrue="1">
      <formula>0</formula>
    </cfRule>
    <cfRule type="cellIs" priority="60" dxfId="137" operator="lessThan" stopIfTrue="1">
      <formula>0</formula>
    </cfRule>
    <cfRule type="cellIs" priority="61" dxfId="137" operator="greaterThan" stopIfTrue="1">
      <formula>0</formula>
    </cfRule>
    <cfRule type="cellIs" priority="62" dxfId="0" operator="lessThan" stopIfTrue="1">
      <formula>0</formula>
    </cfRule>
    <cfRule type="cellIs" priority="63" dxfId="137" operator="lessThan" stopIfTrue="1">
      <formula>0</formula>
    </cfRule>
  </conditionalFormatting>
  <conditionalFormatting sqref="G33:G36">
    <cfRule type="cellIs" priority="54" dxfId="137" operator="lessThan" stopIfTrue="1">
      <formula>0</formula>
    </cfRule>
    <cfRule type="cellIs" priority="55" dxfId="137" operator="greaterThan" stopIfTrue="1">
      <formula>0</formula>
    </cfRule>
    <cfRule type="cellIs" priority="56" dxfId="0" operator="lessThan" stopIfTrue="1">
      <formula>0</formula>
    </cfRule>
    <cfRule type="cellIs" priority="57" dxfId="137" operator="lessThan" stopIfTrue="1">
      <formula>0</formula>
    </cfRule>
  </conditionalFormatting>
  <conditionalFormatting sqref="G33:G36">
    <cfRule type="cellIs" priority="51" dxfId="137" operator="greaterThan" stopIfTrue="1">
      <formula>0</formula>
    </cfRule>
    <cfRule type="cellIs" priority="52" dxfId="137" operator="lessThan" stopIfTrue="1">
      <formula>0</formula>
    </cfRule>
    <cfRule type="cellIs" priority="53" dxfId="137" operator="lessThan" stopIfTrue="1">
      <formula>0</formula>
    </cfRule>
  </conditionalFormatting>
  <conditionalFormatting sqref="G79:G81">
    <cfRule type="cellIs" priority="47" dxfId="137" operator="lessThan" stopIfTrue="1">
      <formula>0</formula>
    </cfRule>
    <cfRule type="cellIs" priority="48" dxfId="137" operator="greaterThan" stopIfTrue="1">
      <formula>0</formula>
    </cfRule>
    <cfRule type="cellIs" priority="49" dxfId="0" operator="lessThan" stopIfTrue="1">
      <formula>0</formula>
    </cfRule>
    <cfRule type="cellIs" priority="50" dxfId="137" operator="lessThan" stopIfTrue="1">
      <formula>0</formula>
    </cfRule>
  </conditionalFormatting>
  <conditionalFormatting sqref="G79:G81">
    <cfRule type="cellIs" priority="44" dxfId="137" operator="greaterThan" stopIfTrue="1">
      <formula>0</formula>
    </cfRule>
    <cfRule type="cellIs" priority="45" dxfId="137" operator="lessThan" stopIfTrue="1">
      <formula>0</formula>
    </cfRule>
    <cfRule type="cellIs" priority="46" dxfId="137" operator="lessThan" stopIfTrue="1">
      <formula>0</formula>
    </cfRule>
  </conditionalFormatting>
  <conditionalFormatting sqref="G78">
    <cfRule type="cellIs" priority="40" dxfId="137" operator="lessThan" stopIfTrue="1">
      <formula>0</formula>
    </cfRule>
    <cfRule type="cellIs" priority="41" dxfId="137" operator="greaterThan" stopIfTrue="1">
      <formula>0</formula>
    </cfRule>
    <cfRule type="cellIs" priority="42" dxfId="0" operator="lessThan" stopIfTrue="1">
      <formula>0</formula>
    </cfRule>
    <cfRule type="cellIs" priority="43" dxfId="137" operator="lessThan" stopIfTrue="1">
      <formula>0</formula>
    </cfRule>
  </conditionalFormatting>
  <conditionalFormatting sqref="G78">
    <cfRule type="cellIs" priority="37" dxfId="137" operator="greaterThan" stopIfTrue="1">
      <formula>0</formula>
    </cfRule>
    <cfRule type="cellIs" priority="38" dxfId="137" operator="lessThan" stopIfTrue="1">
      <formula>0</formula>
    </cfRule>
    <cfRule type="cellIs" priority="39" dxfId="137" operator="lessThan" stopIfTrue="1">
      <formula>0</formula>
    </cfRule>
  </conditionalFormatting>
  <conditionalFormatting sqref="G83:G85">
    <cfRule type="cellIs" priority="12" dxfId="137" operator="lessThan" stopIfTrue="1">
      <formula>0</formula>
    </cfRule>
    <cfRule type="cellIs" priority="13" dxfId="137" operator="greaterThan" stopIfTrue="1">
      <formula>0</formula>
    </cfRule>
    <cfRule type="cellIs" priority="14" dxfId="0" operator="lessThan" stopIfTrue="1">
      <formula>0</formula>
    </cfRule>
    <cfRule type="cellIs" priority="15" dxfId="137" operator="lessThan" stopIfTrue="1">
      <formula>0</formula>
    </cfRule>
  </conditionalFormatting>
  <conditionalFormatting sqref="G83:G85">
    <cfRule type="cellIs" priority="9" dxfId="137" operator="greaterThan" stopIfTrue="1">
      <formula>0</formula>
    </cfRule>
    <cfRule type="cellIs" priority="10" dxfId="137" operator="lessThan" stopIfTrue="1">
      <formula>0</formula>
    </cfRule>
    <cfRule type="cellIs" priority="11" dxfId="137" operator="lessThan" stopIfTrue="1">
      <formula>0</formula>
    </cfRule>
  </conditionalFormatting>
  <conditionalFormatting sqref="G87">
    <cfRule type="cellIs" priority="5" dxfId="137" operator="lessThan" stopIfTrue="1">
      <formula>0</formula>
    </cfRule>
    <cfRule type="cellIs" priority="6" dxfId="137" operator="greaterThan" stopIfTrue="1">
      <formula>0</formula>
    </cfRule>
    <cfRule type="cellIs" priority="7" dxfId="0" operator="lessThan" stopIfTrue="1">
      <formula>0</formula>
    </cfRule>
    <cfRule type="cellIs" priority="8" dxfId="137" operator="lessThan" stopIfTrue="1">
      <formula>0</formula>
    </cfRule>
  </conditionalFormatting>
  <conditionalFormatting sqref="G87">
    <cfRule type="cellIs" priority="2" dxfId="137" operator="greaterThan" stopIfTrue="1">
      <formula>0</formula>
    </cfRule>
    <cfRule type="cellIs" priority="3" dxfId="137" operator="lessThan" stopIfTrue="1">
      <formula>0</formula>
    </cfRule>
    <cfRule type="cellIs" priority="4" dxfId="137" operator="lessThan" stopIfTrue="1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02:D103 D151:D153 D129:D133 D119:D127 D139:D142 D113:D114 D111 D105 D158:D161 D89:D96 D59:D61 D12:D16 D38:D40 D32:D36 D42:D45 D20:D22 D24:D26 D99 D55:D57 D51:D53 D64:D74 E75 D146:D147">
      <formula1>0</formula1>
    </dataValidation>
  </dataValidations>
  <printOptions horizontalCentered="1"/>
  <pageMargins left="0.4330708661417323" right="0.2362204724409449" top="0.5511811023622047" bottom="0.5511811023622047" header="0" footer="0"/>
  <pageSetup fitToHeight="3" horizontalDpi="300" verticalDpi="300" orientation="portrait" paperSize="9" scale="91" r:id="rId3"/>
  <rowBreaks count="2" manualBreakCount="2">
    <brk id="55" max="4" man="1"/>
    <brk id="11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7</cp:lastModifiedBy>
  <cp:lastPrinted>2017-10-20T08:27:32Z</cp:lastPrinted>
  <dcterms:created xsi:type="dcterms:W3CDTF">2012-11-15T07:58:45Z</dcterms:created>
  <dcterms:modified xsi:type="dcterms:W3CDTF">2017-11-23T12:13:54Z</dcterms:modified>
  <cp:category/>
  <cp:version/>
  <cp:contentType/>
  <cp:contentStatus/>
</cp:coreProperties>
</file>